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1503 - ΚΟΙΝΩΝΙΚΕΣ ΑΣΦΑΛΙΣΕΙΣ\ΤΚΑ\Εισφορείς_εισφορές_κατά_οικονομική_δραστηριότητα_κοινότητα_από_2007\"/>
    </mc:Choice>
  </mc:AlternateContent>
  <bookViews>
    <workbookView xWindow="0" yWindow="0" windowWidth="28800" windowHeight="12030" activeTab="10"/>
  </bookViews>
  <sheets>
    <sheet name="2007 " sheetId="8" r:id="rId1"/>
    <sheet name="2008 " sheetId="6" r:id="rId2"/>
    <sheet name="2009 " sheetId="11" r:id="rId3"/>
    <sheet name="2010 " sheetId="3" r:id="rId4"/>
    <sheet name="2011" sheetId="12" r:id="rId5"/>
    <sheet name="2012" sheetId="14" r:id="rId6"/>
    <sheet name="2013" sheetId="15" r:id="rId7"/>
    <sheet name="2014" sheetId="16" r:id="rId8"/>
    <sheet name="2015" sheetId="17" r:id="rId9"/>
    <sheet name="2016" sheetId="18" r:id="rId10"/>
    <sheet name="2017" sheetId="22" r:id="rId11"/>
    <sheet name="2018" sheetId="21" r:id="rId12"/>
  </sheets>
  <calcPr calcId="162913"/>
</workbook>
</file>

<file path=xl/calcChain.xml><?xml version="1.0" encoding="utf-8"?>
<calcChain xmlns="http://schemas.openxmlformats.org/spreadsheetml/2006/main">
  <c r="L28" i="22" l="1"/>
  <c r="M28" i="22" s="1"/>
  <c r="K28" i="22"/>
  <c r="I28" i="22"/>
  <c r="J28" i="22" s="1"/>
  <c r="H28" i="22"/>
  <c r="F28" i="22"/>
  <c r="G28" i="22" s="1"/>
  <c r="E28" i="22"/>
  <c r="B28" i="22"/>
  <c r="N27" i="22"/>
  <c r="M27" i="22"/>
  <c r="J27" i="22"/>
  <c r="G27" i="22"/>
  <c r="D27" i="22"/>
  <c r="O27" i="22" s="1"/>
  <c r="C27" i="22"/>
  <c r="N26" i="22"/>
  <c r="M26" i="22"/>
  <c r="J26" i="22"/>
  <c r="G26" i="22"/>
  <c r="C26" i="22"/>
  <c r="D26" i="22" s="1"/>
  <c r="O26" i="22" s="1"/>
  <c r="N25" i="22"/>
  <c r="M25" i="22"/>
  <c r="J25" i="22"/>
  <c r="G25" i="22"/>
  <c r="C25" i="22"/>
  <c r="D25" i="22" s="1"/>
  <c r="O25" i="22" s="1"/>
  <c r="N24" i="22"/>
  <c r="M24" i="22"/>
  <c r="J24" i="22"/>
  <c r="G24" i="22"/>
  <c r="C24" i="22"/>
  <c r="D24" i="22" s="1"/>
  <c r="O24" i="22" s="1"/>
  <c r="N23" i="22"/>
  <c r="M23" i="22"/>
  <c r="J23" i="22"/>
  <c r="G23" i="22"/>
  <c r="D23" i="22"/>
  <c r="O23" i="22" s="1"/>
  <c r="C23" i="22"/>
  <c r="N22" i="22"/>
  <c r="M22" i="22"/>
  <c r="J22" i="22"/>
  <c r="G22" i="22"/>
  <c r="C22" i="22"/>
  <c r="D22" i="22" s="1"/>
  <c r="O22" i="22" s="1"/>
  <c r="N21" i="22"/>
  <c r="M21" i="22"/>
  <c r="J21" i="22"/>
  <c r="G21" i="22"/>
  <c r="C21" i="22"/>
  <c r="D21" i="22" s="1"/>
  <c r="O21" i="22" s="1"/>
  <c r="N20" i="22"/>
  <c r="M20" i="22"/>
  <c r="J20" i="22"/>
  <c r="G20" i="22"/>
  <c r="C20" i="22"/>
  <c r="D20" i="22" s="1"/>
  <c r="O20" i="22" s="1"/>
  <c r="N19" i="22"/>
  <c r="M19" i="22"/>
  <c r="J19" i="22"/>
  <c r="G19" i="22"/>
  <c r="D19" i="22"/>
  <c r="O19" i="22" s="1"/>
  <c r="C19" i="22"/>
  <c r="N18" i="22"/>
  <c r="M18" i="22"/>
  <c r="J18" i="22"/>
  <c r="G18" i="22"/>
  <c r="C18" i="22"/>
  <c r="D18" i="22" s="1"/>
  <c r="O18" i="22" s="1"/>
  <c r="N17" i="22"/>
  <c r="M17" i="22"/>
  <c r="J17" i="22"/>
  <c r="G17" i="22"/>
  <c r="C17" i="22"/>
  <c r="D17" i="22" s="1"/>
  <c r="O17" i="22" s="1"/>
  <c r="N16" i="22"/>
  <c r="M16" i="22"/>
  <c r="J16" i="22"/>
  <c r="G16" i="22"/>
  <c r="C16" i="22"/>
  <c r="D16" i="22" s="1"/>
  <c r="O16" i="22" s="1"/>
  <c r="N15" i="22"/>
  <c r="M15" i="22"/>
  <c r="J15" i="22"/>
  <c r="G15" i="22"/>
  <c r="D15" i="22"/>
  <c r="O15" i="22" s="1"/>
  <c r="C15" i="22"/>
  <c r="N14" i="22"/>
  <c r="M14" i="22"/>
  <c r="J14" i="22"/>
  <c r="G14" i="22"/>
  <c r="C14" i="22"/>
  <c r="D14" i="22" s="1"/>
  <c r="O14" i="22" s="1"/>
  <c r="N13" i="22"/>
  <c r="M13" i="22"/>
  <c r="J13" i="22"/>
  <c r="G13" i="22"/>
  <c r="C13" i="22"/>
  <c r="D13" i="22" s="1"/>
  <c r="O13" i="22" s="1"/>
  <c r="N12" i="22"/>
  <c r="M12" i="22"/>
  <c r="J12" i="22"/>
  <c r="G12" i="22"/>
  <c r="C12" i="22"/>
  <c r="D12" i="22" s="1"/>
  <c r="O12" i="22" s="1"/>
  <c r="N11" i="22"/>
  <c r="M11" i="22"/>
  <c r="J11" i="22"/>
  <c r="G11" i="22"/>
  <c r="D11" i="22"/>
  <c r="O11" i="22" s="1"/>
  <c r="C11" i="22"/>
  <c r="N10" i="22"/>
  <c r="M10" i="22"/>
  <c r="J10" i="22"/>
  <c r="G10" i="22"/>
  <c r="C10" i="22"/>
  <c r="D10" i="22" s="1"/>
  <c r="O10" i="22" s="1"/>
  <c r="N9" i="22"/>
  <c r="M9" i="22"/>
  <c r="J9" i="22"/>
  <c r="G9" i="22"/>
  <c r="C9" i="22"/>
  <c r="D9" i="22" s="1"/>
  <c r="O9" i="22" s="1"/>
  <c r="N8" i="22"/>
  <c r="M8" i="22"/>
  <c r="J8" i="22"/>
  <c r="G8" i="22"/>
  <c r="C8" i="22"/>
  <c r="D8" i="22" s="1"/>
  <c r="O8" i="22" s="1"/>
  <c r="N7" i="22"/>
  <c r="M7" i="22"/>
  <c r="J7" i="22"/>
  <c r="G7" i="22"/>
  <c r="D7" i="22"/>
  <c r="O7" i="22" s="1"/>
  <c r="C7" i="22"/>
  <c r="N6" i="22"/>
  <c r="N28" i="22" s="1"/>
  <c r="M6" i="22"/>
  <c r="J6" i="22"/>
  <c r="G6" i="22"/>
  <c r="C6" i="22"/>
  <c r="C28" i="22" s="1"/>
  <c r="D28" i="22" s="1"/>
  <c r="L28" i="21"/>
  <c r="M28" i="21" s="1"/>
  <c r="K28" i="21"/>
  <c r="I28" i="21"/>
  <c r="J28" i="21" s="1"/>
  <c r="H28" i="21"/>
  <c r="F28" i="21"/>
  <c r="G28" i="21" s="1"/>
  <c r="E28" i="21"/>
  <c r="D28" i="21"/>
  <c r="C28" i="21"/>
  <c r="B28" i="21"/>
  <c r="N27" i="21"/>
  <c r="M27" i="21"/>
  <c r="J27" i="21"/>
  <c r="G27" i="21"/>
  <c r="D27" i="21"/>
  <c r="O27" i="21" s="1"/>
  <c r="N26" i="21"/>
  <c r="M26" i="21"/>
  <c r="J26" i="21"/>
  <c r="G26" i="21"/>
  <c r="D26" i="21"/>
  <c r="O26" i="21" s="1"/>
  <c r="N25" i="21"/>
  <c r="M25" i="21"/>
  <c r="J25" i="21"/>
  <c r="G25" i="21"/>
  <c r="D25" i="21"/>
  <c r="O25" i="21" s="1"/>
  <c r="N24" i="21"/>
  <c r="M24" i="21"/>
  <c r="J24" i="21"/>
  <c r="G24" i="21"/>
  <c r="D24" i="21"/>
  <c r="O24" i="21" s="1"/>
  <c r="N23" i="21"/>
  <c r="M23" i="21"/>
  <c r="J23" i="21"/>
  <c r="G23" i="21"/>
  <c r="D23" i="21"/>
  <c r="O23" i="21" s="1"/>
  <c r="N22" i="21"/>
  <c r="M22" i="21"/>
  <c r="J22" i="21"/>
  <c r="G22" i="21"/>
  <c r="D22" i="21"/>
  <c r="O22" i="21" s="1"/>
  <c r="N21" i="21"/>
  <c r="M21" i="21"/>
  <c r="J21" i="21"/>
  <c r="G21" i="21"/>
  <c r="D21" i="21"/>
  <c r="O21" i="21" s="1"/>
  <c r="N20" i="21"/>
  <c r="M20" i="21"/>
  <c r="J20" i="21"/>
  <c r="G20" i="21"/>
  <c r="D20" i="21"/>
  <c r="O20" i="21" s="1"/>
  <c r="N19" i="21"/>
  <c r="M19" i="21"/>
  <c r="J19" i="21"/>
  <c r="G19" i="21"/>
  <c r="D19" i="21"/>
  <c r="O19" i="21" s="1"/>
  <c r="N18" i="21"/>
  <c r="M18" i="21"/>
  <c r="J18" i="21"/>
  <c r="G18" i="21"/>
  <c r="D18" i="21"/>
  <c r="O18" i="21" s="1"/>
  <c r="N17" i="21"/>
  <c r="M17" i="21"/>
  <c r="J17" i="21"/>
  <c r="G17" i="21"/>
  <c r="D17" i="21"/>
  <c r="O17" i="21" s="1"/>
  <c r="N16" i="21"/>
  <c r="M16" i="21"/>
  <c r="G16" i="21"/>
  <c r="D16" i="21"/>
  <c r="O16" i="21" s="1"/>
  <c r="N15" i="21"/>
  <c r="M15" i="21"/>
  <c r="J15" i="21"/>
  <c r="G15" i="21"/>
  <c r="D15" i="21"/>
  <c r="O15" i="21" s="1"/>
  <c r="N14" i="21"/>
  <c r="M14" i="21"/>
  <c r="J14" i="21"/>
  <c r="G14" i="21"/>
  <c r="O14" i="21" s="1"/>
  <c r="D14" i="21"/>
  <c r="N13" i="21"/>
  <c r="M13" i="21"/>
  <c r="J13" i="21"/>
  <c r="G13" i="21"/>
  <c r="D13" i="21"/>
  <c r="O13" i="21" s="1"/>
  <c r="N12" i="21"/>
  <c r="M12" i="21"/>
  <c r="J12" i="21"/>
  <c r="G12" i="21"/>
  <c r="O12" i="21" s="1"/>
  <c r="D12" i="21"/>
  <c r="N11" i="21"/>
  <c r="M11" i="21"/>
  <c r="J11" i="21"/>
  <c r="G11" i="21"/>
  <c r="D11" i="21"/>
  <c r="O11" i="21" s="1"/>
  <c r="N10" i="21"/>
  <c r="M10" i="21"/>
  <c r="J10" i="21"/>
  <c r="G10" i="21"/>
  <c r="O10" i="21" s="1"/>
  <c r="D10" i="21"/>
  <c r="N9" i="21"/>
  <c r="M9" i="21"/>
  <c r="J9" i="21"/>
  <c r="G9" i="21"/>
  <c r="D9" i="21"/>
  <c r="O9" i="21" s="1"/>
  <c r="N8" i="21"/>
  <c r="M8" i="21"/>
  <c r="J8" i="21"/>
  <c r="G8" i="21"/>
  <c r="O8" i="21" s="1"/>
  <c r="D8" i="21"/>
  <c r="N7" i="21"/>
  <c r="M7" i="21"/>
  <c r="J7" i="21"/>
  <c r="G7" i="21"/>
  <c r="D7" i="21"/>
  <c r="O7" i="21" s="1"/>
  <c r="N6" i="21"/>
  <c r="N28" i="21" s="1"/>
  <c r="M6" i="21"/>
  <c r="J6" i="21"/>
  <c r="G6" i="21"/>
  <c r="O6" i="21" s="1"/>
  <c r="D6" i="21"/>
  <c r="D6" i="22" l="1"/>
  <c r="O6" i="22" s="1"/>
  <c r="O28" i="22" s="1"/>
  <c r="O28" i="21"/>
  <c r="C27" i="18" l="1"/>
  <c r="D27" i="18"/>
  <c r="B27" i="18"/>
  <c r="N27" i="18" s="1"/>
  <c r="B26" i="18"/>
  <c r="C26" i="18"/>
  <c r="B25" i="18"/>
  <c r="N25" i="18" s="1"/>
  <c r="C25" i="18"/>
  <c r="D25" i="18" s="1"/>
  <c r="O25" i="18" s="1"/>
  <c r="B24" i="18"/>
  <c r="C24" i="18"/>
  <c r="B23" i="18"/>
  <c r="C23" i="18"/>
  <c r="B22" i="18"/>
  <c r="N22" i="18"/>
  <c r="C22" i="18"/>
  <c r="C21" i="18"/>
  <c r="D21" i="18" s="1"/>
  <c r="O21" i="18" s="1"/>
  <c r="B21" i="18"/>
  <c r="B20" i="18"/>
  <c r="C20" i="18"/>
  <c r="D20" i="18" s="1"/>
  <c r="B19" i="18"/>
  <c r="N19" i="18" s="1"/>
  <c r="C19" i="18"/>
  <c r="C18" i="18"/>
  <c r="B18" i="18"/>
  <c r="N18" i="18" s="1"/>
  <c r="B17" i="18"/>
  <c r="N17" i="18" s="1"/>
  <c r="N28" i="18" s="1"/>
  <c r="C17" i="18"/>
  <c r="C16" i="18"/>
  <c r="B16" i="18"/>
  <c r="N16" i="18" s="1"/>
  <c r="C15" i="18"/>
  <c r="D15" i="18" s="1"/>
  <c r="O15" i="18" s="1"/>
  <c r="B15" i="18"/>
  <c r="C14" i="18"/>
  <c r="B14" i="18"/>
  <c r="N14" i="18" s="1"/>
  <c r="C13" i="18"/>
  <c r="D13" i="18" s="1"/>
  <c r="O13" i="18" s="1"/>
  <c r="B13" i="18"/>
  <c r="C12" i="18"/>
  <c r="B12" i="18"/>
  <c r="C10" i="18"/>
  <c r="B10" i="18"/>
  <c r="C11" i="18"/>
  <c r="B11" i="18"/>
  <c r="C9" i="18"/>
  <c r="D9" i="18" s="1"/>
  <c r="B9" i="18"/>
  <c r="C8" i="18"/>
  <c r="D8" i="18" s="1"/>
  <c r="B8" i="18"/>
  <c r="N8" i="18" s="1"/>
  <c r="G8" i="18"/>
  <c r="C7" i="18"/>
  <c r="B7" i="18"/>
  <c r="C6" i="18"/>
  <c r="D6" i="18" s="1"/>
  <c r="O6" i="18" s="1"/>
  <c r="B6" i="18"/>
  <c r="L28" i="18"/>
  <c r="M28" i="18"/>
  <c r="K28" i="18"/>
  <c r="I28" i="18"/>
  <c r="J28" i="18" s="1"/>
  <c r="H28" i="18"/>
  <c r="F28" i="18"/>
  <c r="G28" i="18" s="1"/>
  <c r="E28" i="18"/>
  <c r="M27" i="18"/>
  <c r="J27" i="18"/>
  <c r="G27" i="18"/>
  <c r="N26" i="18"/>
  <c r="M26" i="18"/>
  <c r="J26" i="18"/>
  <c r="G26" i="18"/>
  <c r="D26" i="18"/>
  <c r="O26" i="18" s="1"/>
  <c r="M25" i="18"/>
  <c r="J25" i="18"/>
  <c r="G25" i="18"/>
  <c r="N24" i="18"/>
  <c r="M24" i="18"/>
  <c r="J24" i="18"/>
  <c r="G24" i="18"/>
  <c r="D24" i="18"/>
  <c r="N23" i="18"/>
  <c r="M23" i="18"/>
  <c r="J23" i="18"/>
  <c r="G23" i="18"/>
  <c r="D23" i="18"/>
  <c r="O23" i="18" s="1"/>
  <c r="M22" i="18"/>
  <c r="J22" i="18"/>
  <c r="G22" i="18"/>
  <c r="D22" i="18"/>
  <c r="O22" i="18" s="1"/>
  <c r="N21" i="18"/>
  <c r="M21" i="18"/>
  <c r="J21" i="18"/>
  <c r="G21" i="18"/>
  <c r="N20" i="18"/>
  <c r="M20" i="18"/>
  <c r="J20" i="18"/>
  <c r="G20" i="18"/>
  <c r="M19" i="18"/>
  <c r="J19" i="18"/>
  <c r="G19" i="18"/>
  <c r="D19" i="18"/>
  <c r="M18" i="18"/>
  <c r="J18" i="18"/>
  <c r="G18" i="18"/>
  <c r="D18" i="18"/>
  <c r="M17" i="18"/>
  <c r="J17" i="18"/>
  <c r="G17" i="18"/>
  <c r="D17" i="18"/>
  <c r="M16" i="18"/>
  <c r="J16" i="18"/>
  <c r="G16" i="18"/>
  <c r="D16" i="18"/>
  <c r="N15" i="18"/>
  <c r="M15" i="18"/>
  <c r="J15" i="18"/>
  <c r="G15" i="18"/>
  <c r="M14" i="18"/>
  <c r="J14" i="18"/>
  <c r="G14" i="18"/>
  <c r="D14" i="18"/>
  <c r="N13" i="18"/>
  <c r="M13" i="18"/>
  <c r="J13" i="18"/>
  <c r="G13" i="18"/>
  <c r="N12" i="18"/>
  <c r="M12" i="18"/>
  <c r="J12" i="18"/>
  <c r="G12" i="18"/>
  <c r="D12" i="18"/>
  <c r="N11" i="18"/>
  <c r="M11" i="18"/>
  <c r="J11" i="18"/>
  <c r="G11" i="18"/>
  <c r="D11" i="18"/>
  <c r="O11" i="18" s="1"/>
  <c r="N10" i="18"/>
  <c r="M10" i="18"/>
  <c r="J10" i="18"/>
  <c r="G10" i="18"/>
  <c r="D10" i="18"/>
  <c r="N9" i="18"/>
  <c r="M9" i="18"/>
  <c r="J9" i="18"/>
  <c r="O9" i="18" s="1"/>
  <c r="G9" i="18"/>
  <c r="M8" i="18"/>
  <c r="J8" i="18"/>
  <c r="N7" i="18"/>
  <c r="M7" i="18"/>
  <c r="J7" i="18"/>
  <c r="G7" i="18"/>
  <c r="D7" i="18"/>
  <c r="O7" i="18" s="1"/>
  <c r="N6" i="18"/>
  <c r="M6" i="18"/>
  <c r="J6" i="18"/>
  <c r="G6" i="18"/>
  <c r="C27" i="17"/>
  <c r="D27" i="17"/>
  <c r="B27" i="17"/>
  <c r="N27" i="17" s="1"/>
  <c r="C26" i="17"/>
  <c r="B26" i="17"/>
  <c r="C25" i="17"/>
  <c r="D25" i="17" s="1"/>
  <c r="O25" i="17" s="1"/>
  <c r="B25" i="17"/>
  <c r="C24" i="17"/>
  <c r="D24" i="17" s="1"/>
  <c r="B24" i="17"/>
  <c r="C23" i="17"/>
  <c r="D23" i="17" s="1"/>
  <c r="O23" i="17" s="1"/>
  <c r="B23" i="17"/>
  <c r="N23" i="17" s="1"/>
  <c r="C22" i="17"/>
  <c r="D22" i="17" s="1"/>
  <c r="B22" i="17"/>
  <c r="N22" i="17" s="1"/>
  <c r="C21" i="17"/>
  <c r="D21" i="17" s="1"/>
  <c r="O21" i="17" s="1"/>
  <c r="B21" i="17"/>
  <c r="C20" i="17"/>
  <c r="D20" i="17"/>
  <c r="B20" i="17"/>
  <c r="N20" i="17" s="1"/>
  <c r="C19" i="17"/>
  <c r="D19" i="17"/>
  <c r="B19" i="17"/>
  <c r="C18" i="17"/>
  <c r="D18" i="17" s="1"/>
  <c r="O18" i="17" s="1"/>
  <c r="B18" i="17"/>
  <c r="C17" i="17"/>
  <c r="B17" i="17"/>
  <c r="N17" i="17"/>
  <c r="C16" i="17"/>
  <c r="D16" i="17"/>
  <c r="B16" i="17"/>
  <c r="N16" i="17" s="1"/>
  <c r="C15" i="17"/>
  <c r="D15" i="17" s="1"/>
  <c r="O15" i="17" s="1"/>
  <c r="B15" i="17"/>
  <c r="C14" i="17"/>
  <c r="D14" i="17" s="1"/>
  <c r="B14" i="17"/>
  <c r="N14" i="17" s="1"/>
  <c r="C13" i="17"/>
  <c r="D13" i="17" s="1"/>
  <c r="O13" i="17" s="1"/>
  <c r="B13" i="17"/>
  <c r="N13" i="17"/>
  <c r="C12" i="17"/>
  <c r="D12" i="17" s="1"/>
  <c r="B12" i="17"/>
  <c r="N12" i="17" s="1"/>
  <c r="C11" i="17"/>
  <c r="D11" i="17" s="1"/>
  <c r="B11" i="17"/>
  <c r="N11" i="17" s="1"/>
  <c r="C10" i="17"/>
  <c r="D10" i="17" s="1"/>
  <c r="O10" i="17" s="1"/>
  <c r="B10" i="17"/>
  <c r="N10" i="17" s="1"/>
  <c r="C9" i="17"/>
  <c r="B9" i="17"/>
  <c r="N9" i="17" s="1"/>
  <c r="C8" i="17"/>
  <c r="D8" i="17" s="1"/>
  <c r="B8" i="17"/>
  <c r="C7" i="17"/>
  <c r="D7" i="17" s="1"/>
  <c r="B7" i="17"/>
  <c r="N7" i="17" s="1"/>
  <c r="M7" i="17"/>
  <c r="M8" i="17"/>
  <c r="M9" i="17"/>
  <c r="M10" i="17"/>
  <c r="M11" i="17"/>
  <c r="M12" i="17"/>
  <c r="M13" i="17"/>
  <c r="M14" i="17"/>
  <c r="M15" i="17"/>
  <c r="M16" i="17"/>
  <c r="M17" i="17"/>
  <c r="M18" i="17"/>
  <c r="M19" i="17"/>
  <c r="M20" i="17"/>
  <c r="M21" i="17"/>
  <c r="M22" i="17"/>
  <c r="M23" i="17"/>
  <c r="M24" i="17"/>
  <c r="M25" i="17"/>
  <c r="M26" i="17"/>
  <c r="M27" i="17"/>
  <c r="M6" i="17"/>
  <c r="J7" i="17"/>
  <c r="J8" i="17"/>
  <c r="J9" i="17"/>
  <c r="J10" i="17"/>
  <c r="J11" i="17"/>
  <c r="J12" i="17"/>
  <c r="J13" i="17"/>
  <c r="J14" i="17"/>
  <c r="J15" i="17"/>
  <c r="J16" i="17"/>
  <c r="O16" i="17" s="1"/>
  <c r="J17" i="17"/>
  <c r="J18" i="17"/>
  <c r="J19" i="17"/>
  <c r="J20" i="17"/>
  <c r="J21" i="17"/>
  <c r="J22" i="17"/>
  <c r="J23" i="17"/>
  <c r="J24" i="17"/>
  <c r="J25" i="17"/>
  <c r="J26" i="17"/>
  <c r="J27" i="17"/>
  <c r="J6" i="17"/>
  <c r="G7" i="17"/>
  <c r="G8" i="17"/>
  <c r="G9" i="17"/>
  <c r="G10" i="17"/>
  <c r="G11" i="17"/>
  <c r="G12" i="17"/>
  <c r="G13" i="17"/>
  <c r="G14" i="17"/>
  <c r="G15" i="17"/>
  <c r="G16" i="17"/>
  <c r="G17" i="17"/>
  <c r="G18" i="17"/>
  <c r="G19" i="17"/>
  <c r="G20" i="17"/>
  <c r="G21" i="17"/>
  <c r="G22" i="17"/>
  <c r="G23" i="17"/>
  <c r="G24" i="17"/>
  <c r="G25" i="17"/>
  <c r="G26" i="17"/>
  <c r="G27" i="17"/>
  <c r="G6" i="17"/>
  <c r="D9" i="17"/>
  <c r="D17" i="17"/>
  <c r="O17" i="17" s="1"/>
  <c r="D26" i="17"/>
  <c r="O26" i="17" s="1"/>
  <c r="M7" i="16"/>
  <c r="M8" i="16"/>
  <c r="M9" i="16"/>
  <c r="M10" i="16"/>
  <c r="M11" i="16"/>
  <c r="M12" i="16"/>
  <c r="M13" i="16"/>
  <c r="M14" i="16"/>
  <c r="M15" i="16"/>
  <c r="M16" i="16"/>
  <c r="M17" i="16"/>
  <c r="M18" i="16"/>
  <c r="M19" i="16"/>
  <c r="M20" i="16"/>
  <c r="M21" i="16"/>
  <c r="M22" i="16"/>
  <c r="M23" i="16"/>
  <c r="M24" i="16"/>
  <c r="M25" i="16"/>
  <c r="M26" i="16"/>
  <c r="M27" i="16"/>
  <c r="M6" i="16"/>
  <c r="J7" i="16"/>
  <c r="J8" i="16"/>
  <c r="J9" i="16"/>
  <c r="J10" i="16"/>
  <c r="J11" i="16"/>
  <c r="J12" i="16"/>
  <c r="J13" i="16"/>
  <c r="J14" i="16"/>
  <c r="J15" i="16"/>
  <c r="J16" i="16"/>
  <c r="J17" i="16"/>
  <c r="J18" i="16"/>
  <c r="J19" i="16"/>
  <c r="J20" i="16"/>
  <c r="J21" i="16"/>
  <c r="J22" i="16"/>
  <c r="J23" i="16"/>
  <c r="J24" i="16"/>
  <c r="J25" i="16"/>
  <c r="J26" i="16"/>
  <c r="J27" i="16"/>
  <c r="J6" i="16"/>
  <c r="G7" i="16"/>
  <c r="G8" i="16"/>
  <c r="G9" i="16"/>
  <c r="G10" i="16"/>
  <c r="G11" i="16"/>
  <c r="G12" i="16"/>
  <c r="G13" i="16"/>
  <c r="G14" i="16"/>
  <c r="G15" i="16"/>
  <c r="G16" i="16"/>
  <c r="G17" i="16"/>
  <c r="G18" i="16"/>
  <c r="G19" i="16"/>
  <c r="G20" i="16"/>
  <c r="G21" i="16"/>
  <c r="G22" i="16"/>
  <c r="G23" i="16"/>
  <c r="G24" i="16"/>
  <c r="G25" i="16"/>
  <c r="G26" i="16"/>
  <c r="G27" i="16"/>
  <c r="G6" i="16"/>
  <c r="C6" i="17"/>
  <c r="B6" i="17"/>
  <c r="L28" i="17"/>
  <c r="M28" i="17" s="1"/>
  <c r="K28" i="17"/>
  <c r="I28" i="17"/>
  <c r="J28" i="17" s="1"/>
  <c r="H28" i="17"/>
  <c r="F28" i="17"/>
  <c r="G28" i="17"/>
  <c r="E28" i="17"/>
  <c r="N26" i="17"/>
  <c r="N25" i="17"/>
  <c r="N24" i="17"/>
  <c r="N21" i="17"/>
  <c r="N19" i="17"/>
  <c r="N18" i="17"/>
  <c r="N15" i="17"/>
  <c r="O8" i="17"/>
  <c r="N8" i="17"/>
  <c r="C27" i="16"/>
  <c r="D27" i="16" s="1"/>
  <c r="O27" i="16" s="1"/>
  <c r="B27" i="16"/>
  <c r="N27" i="16" s="1"/>
  <c r="C26" i="16"/>
  <c r="D26" i="16" s="1"/>
  <c r="B26" i="16"/>
  <c r="N26" i="16"/>
  <c r="C25" i="16"/>
  <c r="D25" i="16" s="1"/>
  <c r="O25" i="16" s="1"/>
  <c r="B25" i="16"/>
  <c r="C24" i="16"/>
  <c r="D24" i="16"/>
  <c r="B24" i="16"/>
  <c r="N24" i="16" s="1"/>
  <c r="C23" i="16"/>
  <c r="D23" i="16" s="1"/>
  <c r="B23" i="16"/>
  <c r="N23" i="16"/>
  <c r="C22" i="16"/>
  <c r="D22" i="16" s="1"/>
  <c r="B22" i="16"/>
  <c r="N22" i="16" s="1"/>
  <c r="C21" i="16"/>
  <c r="D21" i="16" s="1"/>
  <c r="B21" i="16"/>
  <c r="N21" i="16" s="1"/>
  <c r="C20" i="16"/>
  <c r="D20" i="16" s="1"/>
  <c r="B20" i="16"/>
  <c r="N20" i="16" s="1"/>
  <c r="C19" i="16"/>
  <c r="D19" i="16" s="1"/>
  <c r="O19" i="16" s="1"/>
  <c r="B19" i="16"/>
  <c r="C18" i="16"/>
  <c r="D18" i="16" s="1"/>
  <c r="B18" i="16"/>
  <c r="C17" i="16"/>
  <c r="D17" i="16" s="1"/>
  <c r="O17" i="16" s="1"/>
  <c r="B17" i="16"/>
  <c r="N17" i="16" s="1"/>
  <c r="C16" i="16"/>
  <c r="D16" i="16" s="1"/>
  <c r="B16" i="16"/>
  <c r="N16" i="16" s="1"/>
  <c r="C15" i="16"/>
  <c r="D15" i="16" s="1"/>
  <c r="O15" i="16" s="1"/>
  <c r="B15" i="16"/>
  <c r="N15" i="16" s="1"/>
  <c r="C14" i="16"/>
  <c r="D14" i="16" s="1"/>
  <c r="B14" i="16"/>
  <c r="N14" i="16" s="1"/>
  <c r="N28" i="16" s="1"/>
  <c r="C13" i="16"/>
  <c r="D13" i="16" s="1"/>
  <c r="B13" i="16"/>
  <c r="N13" i="16" s="1"/>
  <c r="C12" i="16"/>
  <c r="D12" i="16" s="1"/>
  <c r="O12" i="16" s="1"/>
  <c r="B12" i="16"/>
  <c r="C11" i="16"/>
  <c r="D11" i="16" s="1"/>
  <c r="B11" i="16"/>
  <c r="C10" i="16"/>
  <c r="D10" i="16" s="1"/>
  <c r="B10" i="16"/>
  <c r="N10" i="16" s="1"/>
  <c r="C9" i="16"/>
  <c r="D9" i="16" s="1"/>
  <c r="B9" i="16"/>
  <c r="N9" i="16" s="1"/>
  <c r="C8" i="16"/>
  <c r="B8" i="16"/>
  <c r="N8" i="16" s="1"/>
  <c r="C7" i="16"/>
  <c r="D7" i="16" s="1"/>
  <c r="O7" i="16" s="1"/>
  <c r="B7" i="16"/>
  <c r="N7" i="16" s="1"/>
  <c r="C6" i="16"/>
  <c r="D6" i="16" s="1"/>
  <c r="B6" i="16"/>
  <c r="N6" i="16" s="1"/>
  <c r="C26" i="15"/>
  <c r="D26" i="15" s="1"/>
  <c r="B26" i="15"/>
  <c r="N26" i="15" s="1"/>
  <c r="C25" i="15"/>
  <c r="D25" i="15" s="1"/>
  <c r="B25" i="15"/>
  <c r="N25" i="15" s="1"/>
  <c r="C24" i="15"/>
  <c r="B24" i="15"/>
  <c r="N24" i="15" s="1"/>
  <c r="C23" i="15"/>
  <c r="D23" i="15" s="1"/>
  <c r="O23" i="15" s="1"/>
  <c r="B23" i="15"/>
  <c r="C22" i="15"/>
  <c r="B22" i="15"/>
  <c r="C21" i="15"/>
  <c r="D21" i="15" s="1"/>
  <c r="B21" i="15"/>
  <c r="N21" i="15" s="1"/>
  <c r="C20" i="15"/>
  <c r="D20" i="15" s="1"/>
  <c r="B20" i="15"/>
  <c r="N20" i="15" s="1"/>
  <c r="C19" i="15"/>
  <c r="D19" i="15" s="1"/>
  <c r="O19" i="15" s="1"/>
  <c r="B19" i="15"/>
  <c r="N19" i="15" s="1"/>
  <c r="C18" i="15"/>
  <c r="B18" i="15"/>
  <c r="N18" i="15"/>
  <c r="C17" i="15"/>
  <c r="D17" i="15" s="1"/>
  <c r="B17" i="15"/>
  <c r="C16" i="15"/>
  <c r="D16" i="15" s="1"/>
  <c r="O16" i="15" s="1"/>
  <c r="B16" i="15"/>
  <c r="N16" i="15" s="1"/>
  <c r="C15" i="15"/>
  <c r="D15" i="15" s="1"/>
  <c r="B15" i="15"/>
  <c r="C14" i="15"/>
  <c r="D14" i="15" s="1"/>
  <c r="O14" i="15" s="1"/>
  <c r="B14" i="15"/>
  <c r="N14" i="15" s="1"/>
  <c r="C13" i="15"/>
  <c r="B13" i="15"/>
  <c r="N13" i="15" s="1"/>
  <c r="C12" i="15"/>
  <c r="D12" i="15" s="1"/>
  <c r="B12" i="15"/>
  <c r="N12" i="15" s="1"/>
  <c r="C11" i="15"/>
  <c r="B11" i="15"/>
  <c r="N11" i="15" s="1"/>
  <c r="C10" i="15"/>
  <c r="B10" i="15"/>
  <c r="N10" i="15" s="1"/>
  <c r="C9" i="15"/>
  <c r="D9" i="15" s="1"/>
  <c r="O9" i="15" s="1"/>
  <c r="B9" i="15"/>
  <c r="N9" i="15"/>
  <c r="C8" i="15"/>
  <c r="D8" i="15" s="1"/>
  <c r="B8" i="15"/>
  <c r="N8" i="15" s="1"/>
  <c r="C7" i="15"/>
  <c r="D7" i="15"/>
  <c r="B7" i="15"/>
  <c r="C6" i="15"/>
  <c r="B6" i="15"/>
  <c r="N6" i="15" s="1"/>
  <c r="L28" i="16"/>
  <c r="M28" i="16"/>
  <c r="K28" i="16"/>
  <c r="I28" i="16"/>
  <c r="J28" i="16" s="1"/>
  <c r="H28" i="16"/>
  <c r="F28" i="16"/>
  <c r="G28" i="16" s="1"/>
  <c r="E28" i="16"/>
  <c r="N25" i="16"/>
  <c r="N19" i="16"/>
  <c r="N18" i="16"/>
  <c r="N12" i="16"/>
  <c r="N11" i="16"/>
  <c r="L28" i="15"/>
  <c r="K28" i="15"/>
  <c r="I28" i="15"/>
  <c r="H28" i="15"/>
  <c r="F28" i="15"/>
  <c r="E28" i="15"/>
  <c r="N27" i="15"/>
  <c r="M27" i="15"/>
  <c r="J27" i="15"/>
  <c r="G27" i="15"/>
  <c r="D27" i="15"/>
  <c r="M26" i="15"/>
  <c r="J26" i="15"/>
  <c r="G26" i="15"/>
  <c r="M25" i="15"/>
  <c r="J25" i="15"/>
  <c r="G25" i="15"/>
  <c r="M24" i="15"/>
  <c r="J24" i="15"/>
  <c r="G24" i="15"/>
  <c r="D24" i="15"/>
  <c r="M23" i="15"/>
  <c r="J23" i="15"/>
  <c r="G23" i="15"/>
  <c r="N23" i="15"/>
  <c r="M22" i="15"/>
  <c r="J22" i="15"/>
  <c r="G22" i="15"/>
  <c r="M21" i="15"/>
  <c r="J21" i="15"/>
  <c r="G21" i="15"/>
  <c r="M20" i="15"/>
  <c r="J20" i="15"/>
  <c r="G20" i="15"/>
  <c r="M19" i="15"/>
  <c r="J19" i="15"/>
  <c r="G19" i="15"/>
  <c r="M18" i="15"/>
  <c r="J18" i="15"/>
  <c r="G18" i="15"/>
  <c r="N17" i="15"/>
  <c r="M17" i="15"/>
  <c r="J17" i="15"/>
  <c r="G17" i="15"/>
  <c r="M16" i="15"/>
  <c r="J16" i="15"/>
  <c r="G16" i="15"/>
  <c r="M15" i="15"/>
  <c r="J15" i="15"/>
  <c r="G15" i="15"/>
  <c r="N15" i="15"/>
  <c r="M14" i="15"/>
  <c r="J14" i="15"/>
  <c r="G14" i="15"/>
  <c r="M13" i="15"/>
  <c r="J13" i="15"/>
  <c r="G13" i="15"/>
  <c r="D13" i="15"/>
  <c r="M12" i="15"/>
  <c r="J12" i="15"/>
  <c r="G12" i="15"/>
  <c r="M11" i="15"/>
  <c r="J11" i="15"/>
  <c r="G11" i="15"/>
  <c r="M10" i="15"/>
  <c r="J10" i="15"/>
  <c r="G10" i="15"/>
  <c r="M9" i="15"/>
  <c r="J9" i="15"/>
  <c r="G9" i="15"/>
  <c r="M8" i="15"/>
  <c r="J8" i="15"/>
  <c r="G8" i="15"/>
  <c r="M7" i="15"/>
  <c r="J7" i="15"/>
  <c r="G7" i="15"/>
  <c r="M6" i="15"/>
  <c r="M28" i="15" s="1"/>
  <c r="J6" i="15"/>
  <c r="G6" i="15"/>
  <c r="C26" i="14"/>
  <c r="D26" i="14" s="1"/>
  <c r="B26" i="14"/>
  <c r="N26" i="14" s="1"/>
  <c r="C25" i="14"/>
  <c r="B25" i="14"/>
  <c r="C24" i="14"/>
  <c r="D24" i="14"/>
  <c r="B24" i="14"/>
  <c r="C23" i="14"/>
  <c r="B23" i="14"/>
  <c r="N23" i="14" s="1"/>
  <c r="C22" i="14"/>
  <c r="D22" i="14" s="1"/>
  <c r="O22" i="14" s="1"/>
  <c r="B22" i="14"/>
  <c r="C21" i="14"/>
  <c r="B21" i="14"/>
  <c r="D6" i="15"/>
  <c r="O6" i="15" s="1"/>
  <c r="D10" i="15"/>
  <c r="D22" i="15"/>
  <c r="O22" i="15" s="1"/>
  <c r="C20" i="14"/>
  <c r="D20" i="14" s="1"/>
  <c r="B20" i="14"/>
  <c r="C19" i="14"/>
  <c r="D19" i="14" s="1"/>
  <c r="B19" i="14"/>
  <c r="C18" i="14"/>
  <c r="B18" i="14"/>
  <c r="N18" i="14" s="1"/>
  <c r="C17" i="14"/>
  <c r="B17" i="14"/>
  <c r="C16" i="14"/>
  <c r="D16" i="14"/>
  <c r="B16" i="14"/>
  <c r="N16" i="14" s="1"/>
  <c r="C15" i="14"/>
  <c r="D15" i="14" s="1"/>
  <c r="B15" i="14"/>
  <c r="C14" i="14"/>
  <c r="D14" i="14" s="1"/>
  <c r="B14" i="14"/>
  <c r="N14" i="14" s="1"/>
  <c r="C13" i="14"/>
  <c r="D13" i="14"/>
  <c r="B13" i="14"/>
  <c r="N13" i="14" s="1"/>
  <c r="C12" i="14"/>
  <c r="D12" i="14" s="1"/>
  <c r="B12" i="14"/>
  <c r="N12" i="14" s="1"/>
  <c r="C11" i="14"/>
  <c r="D11" i="14" s="1"/>
  <c r="O11" i="14" s="1"/>
  <c r="B11" i="14"/>
  <c r="N11" i="14" s="1"/>
  <c r="C10" i="14"/>
  <c r="B10" i="14"/>
  <c r="N10" i="14"/>
  <c r="C9" i="14"/>
  <c r="D9" i="14" s="1"/>
  <c r="B9" i="14"/>
  <c r="N9" i="14"/>
  <c r="C8" i="14"/>
  <c r="B8" i="14"/>
  <c r="N8" i="14" s="1"/>
  <c r="C7" i="14"/>
  <c r="D7" i="14" s="1"/>
  <c r="B7" i="14"/>
  <c r="N7" i="14" s="1"/>
  <c r="M8" i="14"/>
  <c r="M9" i="14"/>
  <c r="M10" i="14"/>
  <c r="M11" i="14"/>
  <c r="M12" i="14"/>
  <c r="M13" i="14"/>
  <c r="M14" i="14"/>
  <c r="M15" i="14"/>
  <c r="M16" i="14"/>
  <c r="M17" i="14"/>
  <c r="M18" i="14"/>
  <c r="M19" i="14"/>
  <c r="M20" i="14"/>
  <c r="M21" i="14"/>
  <c r="M22" i="14"/>
  <c r="M23" i="14"/>
  <c r="M24" i="14"/>
  <c r="M25" i="14"/>
  <c r="M26" i="14"/>
  <c r="M27" i="14"/>
  <c r="M7" i="14"/>
  <c r="J7" i="14"/>
  <c r="J8" i="14"/>
  <c r="J9" i="14"/>
  <c r="J10" i="14"/>
  <c r="J11" i="14"/>
  <c r="J12" i="14"/>
  <c r="J13" i="14"/>
  <c r="J14" i="14"/>
  <c r="J15" i="14"/>
  <c r="J16" i="14"/>
  <c r="J17" i="14"/>
  <c r="J18" i="14"/>
  <c r="J19" i="14"/>
  <c r="J20" i="14"/>
  <c r="J21" i="14"/>
  <c r="J22" i="14"/>
  <c r="J23" i="14"/>
  <c r="J24" i="14"/>
  <c r="J25" i="14"/>
  <c r="J26" i="14"/>
  <c r="J27" i="14"/>
  <c r="G7" i="14"/>
  <c r="G8" i="14"/>
  <c r="G9" i="14"/>
  <c r="G10" i="14"/>
  <c r="G11" i="14"/>
  <c r="G12" i="14"/>
  <c r="G13" i="14"/>
  <c r="G14" i="14"/>
  <c r="G15" i="14"/>
  <c r="G16" i="14"/>
  <c r="G17" i="14"/>
  <c r="G18" i="14"/>
  <c r="G19" i="14"/>
  <c r="G20" i="14"/>
  <c r="G21" i="14"/>
  <c r="G22" i="14"/>
  <c r="G23" i="14"/>
  <c r="G24" i="14"/>
  <c r="G25" i="14"/>
  <c r="G26" i="14"/>
  <c r="G27" i="14"/>
  <c r="D10" i="14"/>
  <c r="D17" i="14"/>
  <c r="D18" i="14"/>
  <c r="O18" i="14" s="1"/>
  <c r="D21" i="14"/>
  <c r="D23" i="14"/>
  <c r="D25" i="14"/>
  <c r="O25" i="14" s="1"/>
  <c r="D27" i="14"/>
  <c r="O27" i="14" s="1"/>
  <c r="M6" i="14"/>
  <c r="J6" i="14"/>
  <c r="G6" i="14"/>
  <c r="G28" i="14" s="1"/>
  <c r="C6" i="14"/>
  <c r="D6" i="14" s="1"/>
  <c r="B6" i="14"/>
  <c r="L28" i="14"/>
  <c r="K28" i="14"/>
  <c r="I28" i="14"/>
  <c r="H28" i="14"/>
  <c r="F28" i="14"/>
  <c r="E28" i="14"/>
  <c r="N27" i="14"/>
  <c r="N25" i="14"/>
  <c r="N24" i="14"/>
  <c r="N22" i="14"/>
  <c r="N21" i="14"/>
  <c r="N20" i="14"/>
  <c r="N19" i="14"/>
  <c r="N17" i="14"/>
  <c r="N15" i="14"/>
  <c r="C26" i="12"/>
  <c r="D26" i="12" s="1"/>
  <c r="O26" i="12" s="1"/>
  <c r="C25" i="12"/>
  <c r="B25" i="12"/>
  <c r="C24" i="12"/>
  <c r="B24" i="12"/>
  <c r="C23" i="12"/>
  <c r="D23" i="12" s="1"/>
  <c r="C22" i="12"/>
  <c r="B22" i="12"/>
  <c r="C21" i="12"/>
  <c r="B21" i="12"/>
  <c r="C20" i="12"/>
  <c r="B20" i="12"/>
  <c r="C19" i="12"/>
  <c r="D19" i="12" s="1"/>
  <c r="O19" i="12" s="1"/>
  <c r="B19" i="12"/>
  <c r="N19" i="12" s="1"/>
  <c r="C18" i="12"/>
  <c r="B18" i="12"/>
  <c r="C17" i="12"/>
  <c r="B16" i="12"/>
  <c r="C16" i="12"/>
  <c r="C15" i="12"/>
  <c r="B15" i="12"/>
  <c r="N15" i="12" s="1"/>
  <c r="C14" i="12"/>
  <c r="D14" i="12" s="1"/>
  <c r="B14" i="12"/>
  <c r="C13" i="12"/>
  <c r="B13" i="12"/>
  <c r="N13" i="12" s="1"/>
  <c r="C12" i="12"/>
  <c r="D12" i="12" s="1"/>
  <c r="B12" i="12"/>
  <c r="C11" i="12"/>
  <c r="D11" i="12" s="1"/>
  <c r="O11" i="12" s="1"/>
  <c r="B11" i="12"/>
  <c r="N11" i="12" s="1"/>
  <c r="C10" i="12"/>
  <c r="D10" i="12" s="1"/>
  <c r="C9" i="12"/>
  <c r="D9" i="12" s="1"/>
  <c r="C8" i="12"/>
  <c r="D8" i="12" s="1"/>
  <c r="B8" i="12"/>
  <c r="C7" i="12"/>
  <c r="D7" i="12" s="1"/>
  <c r="C6" i="12"/>
  <c r="C28" i="12" s="1"/>
  <c r="D28" i="12" s="1"/>
  <c r="B6" i="12"/>
  <c r="M27" i="12"/>
  <c r="M26" i="12"/>
  <c r="M25" i="12"/>
  <c r="M24" i="12"/>
  <c r="O24" i="12" s="1"/>
  <c r="M23" i="12"/>
  <c r="M22" i="12"/>
  <c r="M21" i="12"/>
  <c r="M20" i="12"/>
  <c r="M19" i="12"/>
  <c r="M18" i="12"/>
  <c r="M17" i="12"/>
  <c r="M16" i="12"/>
  <c r="M15" i="12"/>
  <c r="M14" i="12"/>
  <c r="M13" i="12"/>
  <c r="M12" i="12"/>
  <c r="M11" i="12"/>
  <c r="M10" i="12"/>
  <c r="M9" i="12"/>
  <c r="M8" i="12"/>
  <c r="M7" i="12"/>
  <c r="M6" i="12"/>
  <c r="J27" i="12"/>
  <c r="J26" i="12"/>
  <c r="J25" i="12"/>
  <c r="J24" i="12"/>
  <c r="J23" i="12"/>
  <c r="J22" i="12"/>
  <c r="J21" i="12"/>
  <c r="J20" i="12"/>
  <c r="J19" i="12"/>
  <c r="J18" i="12"/>
  <c r="J17" i="12"/>
  <c r="J16" i="12"/>
  <c r="J15" i="12"/>
  <c r="J14" i="12"/>
  <c r="J13" i="12"/>
  <c r="J12" i="12"/>
  <c r="J11" i="12"/>
  <c r="J10" i="12"/>
  <c r="J9" i="12"/>
  <c r="J8" i="12"/>
  <c r="J7" i="12"/>
  <c r="J28" i="12" s="1"/>
  <c r="J6" i="12"/>
  <c r="G27" i="12"/>
  <c r="G26" i="12"/>
  <c r="G25" i="12"/>
  <c r="G24" i="12"/>
  <c r="G23" i="12"/>
  <c r="G22" i="12"/>
  <c r="G21" i="12"/>
  <c r="G20" i="12"/>
  <c r="G19" i="12"/>
  <c r="G18" i="12"/>
  <c r="G17" i="12"/>
  <c r="G16" i="12"/>
  <c r="G15" i="12"/>
  <c r="G14" i="12"/>
  <c r="G13" i="12"/>
  <c r="O13" i="12" s="1"/>
  <c r="G12" i="12"/>
  <c r="G11" i="12"/>
  <c r="G10" i="12"/>
  <c r="G9" i="12"/>
  <c r="G8" i="12"/>
  <c r="G7" i="12"/>
  <c r="G6" i="12"/>
  <c r="D27" i="12"/>
  <c r="O27" i="12" s="1"/>
  <c r="D25" i="12"/>
  <c r="D24" i="12"/>
  <c r="D22" i="12"/>
  <c r="D21" i="12"/>
  <c r="O21" i="12" s="1"/>
  <c r="D20" i="12"/>
  <c r="D18" i="12"/>
  <c r="O18" i="12" s="1"/>
  <c r="D17" i="12"/>
  <c r="O17" i="12" s="1"/>
  <c r="D16" i="12"/>
  <c r="D15" i="12"/>
  <c r="O15" i="12"/>
  <c r="D13" i="12"/>
  <c r="D6" i="12"/>
  <c r="O6" i="12" s="1"/>
  <c r="L28" i="12"/>
  <c r="M28" i="12" s="1"/>
  <c r="K28" i="12"/>
  <c r="I28" i="12"/>
  <c r="H28" i="12"/>
  <c r="F28" i="12"/>
  <c r="E28" i="12"/>
  <c r="N27" i="12"/>
  <c r="N26" i="12"/>
  <c r="N25" i="12"/>
  <c r="N24" i="12"/>
  <c r="N23" i="12"/>
  <c r="N22" i="12"/>
  <c r="N21" i="12"/>
  <c r="N20" i="12"/>
  <c r="N18" i="12"/>
  <c r="N17" i="12"/>
  <c r="N16" i="12"/>
  <c r="N14" i="12"/>
  <c r="N12" i="12"/>
  <c r="N10" i="12"/>
  <c r="N9" i="12"/>
  <c r="N8" i="12"/>
  <c r="N7" i="12"/>
  <c r="W26" i="11"/>
  <c r="W25" i="11"/>
  <c r="W24" i="11"/>
  <c r="W23" i="11"/>
  <c r="W22" i="11"/>
  <c r="W21" i="11"/>
  <c r="W20" i="11"/>
  <c r="W19" i="11"/>
  <c r="W18" i="11"/>
  <c r="W17" i="11"/>
  <c r="W16" i="11"/>
  <c r="W15" i="11"/>
  <c r="W14" i="11"/>
  <c r="W13" i="11"/>
  <c r="W12" i="11"/>
  <c r="W11" i="11"/>
  <c r="W10" i="11"/>
  <c r="W9" i="11"/>
  <c r="W8" i="11"/>
  <c r="W7" i="11"/>
  <c r="W6" i="11"/>
  <c r="W5" i="11"/>
  <c r="R26" i="11"/>
  <c r="R25" i="11"/>
  <c r="R24" i="11"/>
  <c r="R23" i="11"/>
  <c r="R22" i="11"/>
  <c r="R21" i="11"/>
  <c r="R20" i="11"/>
  <c r="R19" i="11"/>
  <c r="R18" i="11"/>
  <c r="R17" i="11"/>
  <c r="R16" i="11"/>
  <c r="R15" i="11"/>
  <c r="R14" i="11"/>
  <c r="R13" i="11"/>
  <c r="R12" i="11"/>
  <c r="R11" i="11"/>
  <c r="R10" i="11"/>
  <c r="R9" i="11"/>
  <c r="R8" i="11"/>
  <c r="R7" i="11"/>
  <c r="R6" i="11"/>
  <c r="R5" i="11"/>
  <c r="M26" i="11"/>
  <c r="M25" i="11"/>
  <c r="M24" i="11"/>
  <c r="M23" i="11"/>
  <c r="M22" i="11"/>
  <c r="M21" i="11"/>
  <c r="M20" i="11"/>
  <c r="M19" i="11"/>
  <c r="M18" i="11"/>
  <c r="M17" i="11"/>
  <c r="M16" i="11"/>
  <c r="M15" i="11"/>
  <c r="M14" i="11"/>
  <c r="M13" i="11"/>
  <c r="M12" i="11"/>
  <c r="M11" i="11"/>
  <c r="M10" i="11"/>
  <c r="M9" i="11"/>
  <c r="M8" i="11"/>
  <c r="M7" i="11"/>
  <c r="M6" i="11"/>
  <c r="M5" i="11"/>
  <c r="J26" i="11"/>
  <c r="J25" i="11"/>
  <c r="J24" i="11"/>
  <c r="J23" i="11"/>
  <c r="J22" i="11"/>
  <c r="J21" i="11"/>
  <c r="J20" i="11"/>
  <c r="J19" i="11"/>
  <c r="J18" i="11"/>
  <c r="O18" i="11" s="1"/>
  <c r="J17" i="11"/>
  <c r="J16" i="11"/>
  <c r="J15" i="11"/>
  <c r="J14" i="11"/>
  <c r="O14" i="11" s="1"/>
  <c r="Y14" i="11" s="1"/>
  <c r="J13" i="11"/>
  <c r="J12" i="11"/>
  <c r="J11" i="11"/>
  <c r="J10" i="11"/>
  <c r="O10" i="11" s="1"/>
  <c r="J9" i="11"/>
  <c r="J8" i="11"/>
  <c r="J7" i="11"/>
  <c r="J6" i="11"/>
  <c r="O6" i="11" s="1"/>
  <c r="Y6" i="11" s="1"/>
  <c r="J5" i="11"/>
  <c r="G26" i="11"/>
  <c r="G25" i="11"/>
  <c r="G24" i="11"/>
  <c r="G23" i="11"/>
  <c r="G22" i="11"/>
  <c r="G21" i="11"/>
  <c r="G20" i="11"/>
  <c r="O20" i="11" s="1"/>
  <c r="T20" i="11" s="1"/>
  <c r="G19" i="11"/>
  <c r="G18" i="11"/>
  <c r="G17" i="11"/>
  <c r="G16" i="11"/>
  <c r="O16" i="11" s="1"/>
  <c r="G15" i="11"/>
  <c r="G14" i="11"/>
  <c r="G13" i="11"/>
  <c r="G12" i="11"/>
  <c r="G11" i="11"/>
  <c r="G10" i="11"/>
  <c r="G9" i="11"/>
  <c r="G8" i="11"/>
  <c r="O8" i="11" s="1"/>
  <c r="T8" i="11" s="1"/>
  <c r="G7" i="11"/>
  <c r="G6" i="11"/>
  <c r="G5" i="11"/>
  <c r="D26" i="11"/>
  <c r="D25" i="11"/>
  <c r="O25" i="11" s="1"/>
  <c r="D24" i="11"/>
  <c r="D23" i="11"/>
  <c r="D22" i="11"/>
  <c r="O22" i="11" s="1"/>
  <c r="D21" i="11"/>
  <c r="O21" i="11" s="1"/>
  <c r="D20" i="11"/>
  <c r="D19" i="11"/>
  <c r="O19" i="11"/>
  <c r="Y19" i="11" s="1"/>
  <c r="D18" i="11"/>
  <c r="D17" i="11"/>
  <c r="D16" i="11"/>
  <c r="D15" i="11"/>
  <c r="O15" i="11" s="1"/>
  <c r="Y15" i="11" s="1"/>
  <c r="D14" i="11"/>
  <c r="D13" i="11"/>
  <c r="D12" i="11"/>
  <c r="D11" i="11"/>
  <c r="D10" i="11"/>
  <c r="D9" i="11"/>
  <c r="D8" i="11"/>
  <c r="D7" i="11"/>
  <c r="D6" i="11"/>
  <c r="D5" i="11"/>
  <c r="C27" i="11"/>
  <c r="K27" i="11"/>
  <c r="H27" i="11"/>
  <c r="E27" i="11"/>
  <c r="V27" i="11"/>
  <c r="U27" i="11"/>
  <c r="Q27" i="11"/>
  <c r="P27" i="11"/>
  <c r="L27" i="11"/>
  <c r="I27" i="11"/>
  <c r="F27" i="11"/>
  <c r="N26" i="11"/>
  <c r="X26" i="11" s="1"/>
  <c r="N25" i="11"/>
  <c r="S25" i="11" s="1"/>
  <c r="N24" i="11"/>
  <c r="X24" i="11" s="1"/>
  <c r="N23" i="11"/>
  <c r="X23" i="11"/>
  <c r="N22" i="11"/>
  <c r="N21" i="11"/>
  <c r="S21" i="11" s="1"/>
  <c r="N20" i="11"/>
  <c r="X20" i="11" s="1"/>
  <c r="N19" i="11"/>
  <c r="X19" i="11" s="1"/>
  <c r="N18" i="11"/>
  <c r="X18" i="11" s="1"/>
  <c r="N17" i="11"/>
  <c r="X17" i="11" s="1"/>
  <c r="S17" i="11"/>
  <c r="N16" i="11"/>
  <c r="X16" i="11" s="1"/>
  <c r="N15" i="11"/>
  <c r="X15" i="11"/>
  <c r="N14" i="11"/>
  <c r="N13" i="11"/>
  <c r="S13" i="11" s="1"/>
  <c r="N12" i="11"/>
  <c r="X12" i="11" s="1"/>
  <c r="N11" i="11"/>
  <c r="X11" i="11" s="1"/>
  <c r="N10" i="11"/>
  <c r="X10" i="11" s="1"/>
  <c r="N9" i="11"/>
  <c r="S9" i="11" s="1"/>
  <c r="N8" i="11"/>
  <c r="X8" i="11" s="1"/>
  <c r="N7" i="11"/>
  <c r="N6" i="11"/>
  <c r="B27" i="11"/>
  <c r="M18" i="8"/>
  <c r="M27" i="8"/>
  <c r="M26" i="8"/>
  <c r="M25" i="8"/>
  <c r="M24" i="8"/>
  <c r="M23" i="8"/>
  <c r="M22" i="8"/>
  <c r="M21" i="8"/>
  <c r="M20" i="8"/>
  <c r="M19" i="8"/>
  <c r="M17" i="8"/>
  <c r="M16" i="8"/>
  <c r="M15" i="8"/>
  <c r="M14" i="8"/>
  <c r="M13" i="8"/>
  <c r="M12" i="8"/>
  <c r="M11" i="8"/>
  <c r="M10" i="8"/>
  <c r="M9" i="8"/>
  <c r="M8" i="8"/>
  <c r="M7" i="8"/>
  <c r="M6" i="8"/>
  <c r="M28" i="8" s="1"/>
  <c r="J27" i="8"/>
  <c r="J26" i="8"/>
  <c r="J25" i="8"/>
  <c r="J24" i="8"/>
  <c r="J23" i="8"/>
  <c r="J22" i="8"/>
  <c r="J21" i="8"/>
  <c r="J20" i="8"/>
  <c r="O20" i="8" s="1"/>
  <c r="J19" i="8"/>
  <c r="J18" i="8"/>
  <c r="J17" i="8"/>
  <c r="J16" i="8"/>
  <c r="O16" i="8" s="1"/>
  <c r="J15" i="8"/>
  <c r="J14" i="8"/>
  <c r="J13" i="8"/>
  <c r="J12" i="8"/>
  <c r="J11" i="8"/>
  <c r="J10" i="8"/>
  <c r="J9" i="8"/>
  <c r="J8" i="8"/>
  <c r="J7" i="8"/>
  <c r="J6" i="8"/>
  <c r="G27" i="8"/>
  <c r="G26" i="8"/>
  <c r="G25" i="8"/>
  <c r="G24" i="8"/>
  <c r="G23" i="8"/>
  <c r="G22" i="8"/>
  <c r="G21" i="8"/>
  <c r="G20" i="8"/>
  <c r="G19" i="8"/>
  <c r="G18" i="8"/>
  <c r="G17" i="8"/>
  <c r="G16" i="8"/>
  <c r="G15" i="8"/>
  <c r="G14" i="8"/>
  <c r="G13" i="8"/>
  <c r="G12" i="8"/>
  <c r="G11" i="8"/>
  <c r="O11" i="8" s="1"/>
  <c r="G10" i="8"/>
  <c r="G9" i="8"/>
  <c r="G8" i="8"/>
  <c r="G7" i="8"/>
  <c r="G6" i="8"/>
  <c r="D27" i="8"/>
  <c r="D26" i="8"/>
  <c r="O26" i="8" s="1"/>
  <c r="D25" i="8"/>
  <c r="D24" i="8"/>
  <c r="D23" i="8"/>
  <c r="D22" i="8"/>
  <c r="O22" i="8" s="1"/>
  <c r="D21" i="8"/>
  <c r="D20" i="8"/>
  <c r="D19" i="8"/>
  <c r="D18" i="8"/>
  <c r="O18" i="8" s="1"/>
  <c r="D17" i="8"/>
  <c r="O17" i="8" s="1"/>
  <c r="D16" i="8"/>
  <c r="D15" i="8"/>
  <c r="D14" i="8"/>
  <c r="D13" i="8"/>
  <c r="O13" i="8" s="1"/>
  <c r="D12" i="8"/>
  <c r="O12" i="8" s="1"/>
  <c r="D11" i="8"/>
  <c r="D10" i="8"/>
  <c r="D9" i="8"/>
  <c r="D8" i="8"/>
  <c r="D7" i="8"/>
  <c r="O7" i="8" s="1"/>
  <c r="D6" i="8"/>
  <c r="L28" i="8"/>
  <c r="K28" i="8"/>
  <c r="I28" i="8"/>
  <c r="H28" i="8"/>
  <c r="F28" i="8"/>
  <c r="E28" i="8"/>
  <c r="C28" i="8"/>
  <c r="B28" i="8"/>
  <c r="N27" i="8"/>
  <c r="N26" i="8"/>
  <c r="N25" i="8"/>
  <c r="N24" i="8"/>
  <c r="N23" i="8"/>
  <c r="N22" i="8"/>
  <c r="N21" i="8"/>
  <c r="N20" i="8"/>
  <c r="N19" i="8"/>
  <c r="N18" i="8"/>
  <c r="N17" i="8"/>
  <c r="N16" i="8"/>
  <c r="N15" i="8"/>
  <c r="N14" i="8"/>
  <c r="N13" i="8"/>
  <c r="N12" i="8"/>
  <c r="N11" i="8"/>
  <c r="N10" i="8"/>
  <c r="N9" i="8"/>
  <c r="N8" i="8"/>
  <c r="N7" i="8"/>
  <c r="N6" i="8"/>
  <c r="M27" i="6"/>
  <c r="M26" i="6"/>
  <c r="M25" i="6"/>
  <c r="M24" i="6"/>
  <c r="M23" i="6"/>
  <c r="M22" i="6"/>
  <c r="M21" i="6"/>
  <c r="M20" i="6"/>
  <c r="M19" i="6"/>
  <c r="M18" i="6"/>
  <c r="M17" i="6"/>
  <c r="M16" i="6"/>
  <c r="M15" i="6"/>
  <c r="M14" i="6"/>
  <c r="M13" i="6"/>
  <c r="M12" i="6"/>
  <c r="M11" i="6"/>
  <c r="M10" i="6"/>
  <c r="M9" i="6"/>
  <c r="M8" i="6"/>
  <c r="M7" i="6"/>
  <c r="M6" i="6"/>
  <c r="J27" i="6"/>
  <c r="J26" i="6"/>
  <c r="J25" i="6"/>
  <c r="J24" i="6"/>
  <c r="J23" i="6"/>
  <c r="J22" i="6"/>
  <c r="J21" i="6"/>
  <c r="J20" i="6"/>
  <c r="J19" i="6"/>
  <c r="J18" i="6"/>
  <c r="J17" i="6"/>
  <c r="J16" i="6"/>
  <c r="J15" i="6"/>
  <c r="J14" i="6"/>
  <c r="J13" i="6"/>
  <c r="J12" i="6"/>
  <c r="J11" i="6"/>
  <c r="J10" i="6"/>
  <c r="J9" i="6"/>
  <c r="J8" i="6"/>
  <c r="J7" i="6"/>
  <c r="J28" i="6" s="1"/>
  <c r="J6" i="6"/>
  <c r="G27" i="6"/>
  <c r="G26" i="6"/>
  <c r="G25" i="6"/>
  <c r="G24" i="6"/>
  <c r="G23" i="6"/>
  <c r="G22" i="6"/>
  <c r="G21" i="6"/>
  <c r="O21" i="6" s="1"/>
  <c r="G20" i="6"/>
  <c r="G19" i="6"/>
  <c r="G18" i="6"/>
  <c r="G17" i="6"/>
  <c r="O17" i="6" s="1"/>
  <c r="G16" i="6"/>
  <c r="G15" i="6"/>
  <c r="G14" i="6"/>
  <c r="O14" i="6" s="1"/>
  <c r="G13" i="6"/>
  <c r="G12" i="6"/>
  <c r="G11" i="6"/>
  <c r="G10" i="6"/>
  <c r="G9" i="6"/>
  <c r="G8" i="6"/>
  <c r="G7" i="6"/>
  <c r="G6" i="6"/>
  <c r="D27" i="6"/>
  <c r="O27" i="6" s="1"/>
  <c r="D26" i="6"/>
  <c r="D25" i="6"/>
  <c r="D24" i="6"/>
  <c r="O24" i="6" s="1"/>
  <c r="D23" i="6"/>
  <c r="O23" i="6" s="1"/>
  <c r="D22" i="6"/>
  <c r="D21" i="6"/>
  <c r="D20" i="6"/>
  <c r="D19" i="6"/>
  <c r="D18" i="6"/>
  <c r="D17" i="6"/>
  <c r="D16" i="6"/>
  <c r="D15" i="6"/>
  <c r="D14" i="6"/>
  <c r="D13" i="6"/>
  <c r="D12" i="6"/>
  <c r="D11" i="6"/>
  <c r="D10" i="6"/>
  <c r="D9" i="6"/>
  <c r="D8" i="6"/>
  <c r="D7" i="6"/>
  <c r="D6" i="6"/>
  <c r="L28" i="6"/>
  <c r="K28" i="6"/>
  <c r="I28" i="6"/>
  <c r="H28" i="6"/>
  <c r="F28" i="6"/>
  <c r="E28" i="6"/>
  <c r="N27" i="6"/>
  <c r="N26" i="6"/>
  <c r="N25" i="6"/>
  <c r="N24" i="6"/>
  <c r="N23" i="6"/>
  <c r="N22" i="6"/>
  <c r="N21" i="6"/>
  <c r="N20" i="6"/>
  <c r="N19" i="6"/>
  <c r="N18" i="6"/>
  <c r="N17" i="6"/>
  <c r="N16" i="6"/>
  <c r="N15" i="6"/>
  <c r="N14" i="6"/>
  <c r="N13" i="6"/>
  <c r="N12" i="6"/>
  <c r="N11" i="6"/>
  <c r="N10" i="6"/>
  <c r="N9" i="6"/>
  <c r="N8" i="6"/>
  <c r="N7" i="6"/>
  <c r="C28" i="6"/>
  <c r="B28" i="6"/>
  <c r="K28" i="3"/>
  <c r="H28" i="3"/>
  <c r="E28" i="3"/>
  <c r="G26" i="3"/>
  <c r="L28" i="3"/>
  <c r="M28" i="3" s="1"/>
  <c r="I28" i="3"/>
  <c r="F28" i="3"/>
  <c r="M27" i="3"/>
  <c r="M26" i="3"/>
  <c r="M25" i="3"/>
  <c r="M24" i="3"/>
  <c r="O24" i="3" s="1"/>
  <c r="M23" i="3"/>
  <c r="M22" i="3"/>
  <c r="M21" i="3"/>
  <c r="M20" i="3"/>
  <c r="M19" i="3"/>
  <c r="M18" i="3"/>
  <c r="M17" i="3"/>
  <c r="M16" i="3"/>
  <c r="M15" i="3"/>
  <c r="M14" i="3"/>
  <c r="M13" i="3"/>
  <c r="M12" i="3"/>
  <c r="M11" i="3"/>
  <c r="M10" i="3"/>
  <c r="M9" i="3"/>
  <c r="M8" i="3"/>
  <c r="M7" i="3"/>
  <c r="M6" i="3"/>
  <c r="J27" i="3"/>
  <c r="J26" i="3"/>
  <c r="J25" i="3"/>
  <c r="J24" i="3"/>
  <c r="J23" i="3"/>
  <c r="J22" i="3"/>
  <c r="J21" i="3"/>
  <c r="J20" i="3"/>
  <c r="J19" i="3"/>
  <c r="J18" i="3"/>
  <c r="J17" i="3"/>
  <c r="J16" i="3"/>
  <c r="J15" i="3"/>
  <c r="O15" i="3" s="1"/>
  <c r="J14" i="3"/>
  <c r="J13" i="3"/>
  <c r="J12" i="3"/>
  <c r="J11" i="3"/>
  <c r="J10" i="3"/>
  <c r="J9" i="3"/>
  <c r="J8" i="3"/>
  <c r="J7" i="3"/>
  <c r="J6" i="3"/>
  <c r="G27" i="3"/>
  <c r="G25" i="3"/>
  <c r="G24" i="3"/>
  <c r="G23" i="3"/>
  <c r="G22" i="3"/>
  <c r="G21" i="3"/>
  <c r="G20" i="3"/>
  <c r="G19" i="3"/>
  <c r="G18" i="3"/>
  <c r="G17" i="3"/>
  <c r="G16" i="3"/>
  <c r="G15" i="3"/>
  <c r="G14" i="3"/>
  <c r="G13" i="3"/>
  <c r="G12" i="3"/>
  <c r="G11" i="3"/>
  <c r="G10" i="3"/>
  <c r="G9" i="3"/>
  <c r="G8" i="3"/>
  <c r="G7" i="3"/>
  <c r="G6" i="3"/>
  <c r="D27" i="3"/>
  <c r="D26" i="3"/>
  <c r="D25" i="3"/>
  <c r="D24" i="3"/>
  <c r="D23" i="3"/>
  <c r="D22" i="3"/>
  <c r="D21" i="3"/>
  <c r="D20" i="3"/>
  <c r="D19" i="3"/>
  <c r="D18" i="3"/>
  <c r="D17" i="3"/>
  <c r="D16" i="3"/>
  <c r="D15" i="3"/>
  <c r="D14" i="3"/>
  <c r="D13" i="3"/>
  <c r="D12" i="3"/>
  <c r="D11" i="3"/>
  <c r="D10" i="3"/>
  <c r="D9" i="3"/>
  <c r="D8" i="3"/>
  <c r="D7" i="3"/>
  <c r="N27" i="3"/>
  <c r="N26" i="3"/>
  <c r="N25" i="3"/>
  <c r="N24" i="3"/>
  <c r="N23" i="3"/>
  <c r="N22" i="3"/>
  <c r="N21" i="3"/>
  <c r="N20" i="3"/>
  <c r="N19" i="3"/>
  <c r="N18" i="3"/>
  <c r="N17" i="3"/>
  <c r="N16" i="3"/>
  <c r="N15" i="3"/>
  <c r="N14" i="3"/>
  <c r="N13" i="3"/>
  <c r="N12" i="3"/>
  <c r="N11" i="3"/>
  <c r="N10" i="3"/>
  <c r="N9" i="3"/>
  <c r="N8" i="3"/>
  <c r="N7" i="3"/>
  <c r="C6" i="3"/>
  <c r="B6" i="3"/>
  <c r="B28" i="3"/>
  <c r="O12" i="3"/>
  <c r="N6" i="3"/>
  <c r="O6" i="6"/>
  <c r="N6" i="6"/>
  <c r="O26" i="6"/>
  <c r="O20" i="6"/>
  <c r="O18" i="6"/>
  <c r="O12" i="6"/>
  <c r="O9" i="8"/>
  <c r="O15" i="8"/>
  <c r="O21" i="8"/>
  <c r="O25" i="8"/>
  <c r="S8" i="11"/>
  <c r="S10" i="11"/>
  <c r="S12" i="11"/>
  <c r="S16" i="11"/>
  <c r="S18" i="11"/>
  <c r="S24" i="11"/>
  <c r="S26" i="11"/>
  <c r="N5" i="11"/>
  <c r="O26" i="11"/>
  <c r="Y26" i="11" s="1"/>
  <c r="O24" i="11"/>
  <c r="T24" i="11" s="1"/>
  <c r="Y24" i="11"/>
  <c r="O12" i="11"/>
  <c r="T12" i="11" s="1"/>
  <c r="Y12" i="11"/>
  <c r="O11" i="11"/>
  <c r="Y11" i="11" s="1"/>
  <c r="O9" i="11"/>
  <c r="Y9" i="11" s="1"/>
  <c r="T11" i="11"/>
  <c r="O5" i="11"/>
  <c r="X5" i="11"/>
  <c r="N6" i="12"/>
  <c r="N28" i="12"/>
  <c r="N6" i="14"/>
  <c r="N28" i="14"/>
  <c r="O10" i="14"/>
  <c r="Y21" i="11"/>
  <c r="T21" i="11"/>
  <c r="Y25" i="11"/>
  <c r="T25" i="11"/>
  <c r="T16" i="11"/>
  <c r="S23" i="11"/>
  <c r="S19" i="11"/>
  <c r="S15" i="11"/>
  <c r="S11" i="11"/>
  <c r="S7" i="11"/>
  <c r="O8" i="8"/>
  <c r="X7" i="11"/>
  <c r="X9" i="11"/>
  <c r="X13" i="11"/>
  <c r="X21" i="11"/>
  <c r="X25" i="11"/>
  <c r="Y22" i="11"/>
  <c r="Y5" i="11"/>
  <c r="O7" i="11"/>
  <c r="T7" i="11" s="1"/>
  <c r="Y7" i="11"/>
  <c r="D8" i="14"/>
  <c r="O8" i="14"/>
  <c r="O19" i="14"/>
  <c r="O17" i="14"/>
  <c r="O13" i="14"/>
  <c r="D18" i="15"/>
  <c r="O18" i="15"/>
  <c r="O17" i="15"/>
  <c r="D11" i="15"/>
  <c r="C28" i="15"/>
  <c r="O10" i="16"/>
  <c r="O9" i="16"/>
  <c r="N22" i="15"/>
  <c r="O11" i="17"/>
  <c r="O22" i="17"/>
  <c r="O12" i="17"/>
  <c r="O9" i="17"/>
  <c r="N6" i="17"/>
  <c r="N28" i="17" s="1"/>
  <c r="B28" i="16"/>
  <c r="J28" i="15"/>
  <c r="D28" i="15"/>
  <c r="O11" i="15"/>
  <c r="O6" i="14"/>
  <c r="B28" i="14"/>
  <c r="C28" i="14"/>
  <c r="O12" i="18"/>
  <c r="O20" i="18"/>
  <c r="O27" i="18"/>
  <c r="C28" i="18"/>
  <c r="D28" i="18" s="1"/>
  <c r="O18" i="18"/>
  <c r="O17" i="18"/>
  <c r="O14" i="18"/>
  <c r="B28" i="18"/>
  <c r="T10" i="11" l="1"/>
  <c r="Y10" i="11"/>
  <c r="Y18" i="11"/>
  <c r="T18" i="11"/>
  <c r="Y8" i="11"/>
  <c r="Y20" i="11"/>
  <c r="X6" i="11"/>
  <c r="S6" i="11"/>
  <c r="X14" i="11"/>
  <c r="S14" i="11"/>
  <c r="S20" i="11"/>
  <c r="O10" i="3"/>
  <c r="O14" i="3"/>
  <c r="O18" i="3"/>
  <c r="O22" i="3"/>
  <c r="O26" i="3"/>
  <c r="O16" i="3"/>
  <c r="O20" i="3"/>
  <c r="R27" i="11"/>
  <c r="T6" i="11"/>
  <c r="T14" i="11"/>
  <c r="T22" i="11"/>
  <c r="T26" i="11"/>
  <c r="Y16" i="11"/>
  <c r="O24" i="18"/>
  <c r="T15" i="11"/>
  <c r="N27" i="11"/>
  <c r="S27" i="11" s="1"/>
  <c r="S5" i="11"/>
  <c r="O23" i="8"/>
  <c r="O27" i="8"/>
  <c r="N7" i="15"/>
  <c r="B28" i="15"/>
  <c r="D8" i="16"/>
  <c r="O8" i="16" s="1"/>
  <c r="C28" i="16"/>
  <c r="D28" i="16" s="1"/>
  <c r="D28" i="14"/>
  <c r="T19" i="11"/>
  <c r="T5" i="11"/>
  <c r="C28" i="3"/>
  <c r="D28" i="3" s="1"/>
  <c r="D6" i="3"/>
  <c r="O6" i="3" s="1"/>
  <c r="G28" i="6"/>
  <c r="M28" i="6"/>
  <c r="O6" i="8"/>
  <c r="O10" i="8"/>
  <c r="O14" i="8"/>
  <c r="O25" i="12"/>
  <c r="B28" i="12"/>
  <c r="O8" i="12"/>
  <c r="D28" i="6"/>
  <c r="O10" i="6"/>
  <c r="O25" i="6"/>
  <c r="G28" i="12"/>
  <c r="O9" i="12"/>
  <c r="O7" i="15"/>
  <c r="O28" i="15" s="1"/>
  <c r="O12" i="15"/>
  <c r="O10" i="18"/>
  <c r="O7" i="3"/>
  <c r="O11" i="3"/>
  <c r="O19" i="3"/>
  <c r="O23" i="3"/>
  <c r="O27" i="3"/>
  <c r="O9" i="3"/>
  <c r="O17" i="3"/>
  <c r="O7" i="6"/>
  <c r="O11" i="6"/>
  <c r="O22" i="6"/>
  <c r="J28" i="8"/>
  <c r="X22" i="11"/>
  <c r="S22" i="11"/>
  <c r="J27" i="11"/>
  <c r="O10" i="12"/>
  <c r="O28" i="12" s="1"/>
  <c r="O14" i="12"/>
  <c r="O23" i="12"/>
  <c r="J28" i="14"/>
  <c r="O24" i="14"/>
  <c r="O16" i="14"/>
  <c r="O15" i="14"/>
  <c r="O20" i="14"/>
  <c r="O26" i="14"/>
  <c r="O13" i="15"/>
  <c r="O26" i="15"/>
  <c r="O20" i="16"/>
  <c r="O22" i="16"/>
  <c r="B28" i="17"/>
  <c r="O8" i="18"/>
  <c r="O28" i="18" s="1"/>
  <c r="O7" i="14"/>
  <c r="O24" i="16"/>
  <c r="D6" i="17"/>
  <c r="O6" i="17" s="1"/>
  <c r="C28" i="17"/>
  <c r="D28" i="17" s="1"/>
  <c r="O20" i="17"/>
  <c r="O7" i="17"/>
  <c r="O28" i="17" s="1"/>
  <c r="O19" i="18"/>
  <c r="N28" i="6"/>
  <c r="N28" i="3"/>
  <c r="G28" i="3"/>
  <c r="O8" i="3"/>
  <c r="O8" i="6"/>
  <c r="O15" i="6"/>
  <c r="O19" i="6"/>
  <c r="D28" i="8"/>
  <c r="O19" i="8"/>
  <c r="D27" i="11"/>
  <c r="O13" i="11"/>
  <c r="O23" i="11"/>
  <c r="G27" i="11"/>
  <c r="M27" i="11"/>
  <c r="W27" i="11"/>
  <c r="O22" i="12"/>
  <c r="O7" i="12"/>
  <c r="M28" i="14"/>
  <c r="O23" i="14"/>
  <c r="O14" i="14"/>
  <c r="O10" i="15"/>
  <c r="G28" i="15"/>
  <c r="O20" i="15"/>
  <c r="O24" i="15"/>
  <c r="O25" i="15"/>
  <c r="O6" i="16"/>
  <c r="O28" i="16" s="1"/>
  <c r="O14" i="16"/>
  <c r="O21" i="16"/>
  <c r="O19" i="17"/>
  <c r="O14" i="17"/>
  <c r="O27" i="17"/>
  <c r="O13" i="3"/>
  <c r="O21" i="3"/>
  <c r="O25" i="3"/>
  <c r="O9" i="6"/>
  <c r="O28" i="6" s="1"/>
  <c r="O13" i="6"/>
  <c r="O16" i="6"/>
  <c r="N28" i="8"/>
  <c r="O24" i="8"/>
  <c r="G28" i="8"/>
  <c r="O17" i="11"/>
  <c r="O16" i="12"/>
  <c r="O20" i="12"/>
  <c r="O12" i="12"/>
  <c r="O21" i="14"/>
  <c r="O9" i="14"/>
  <c r="O12" i="14"/>
  <c r="O28" i="14" s="1"/>
  <c r="O8" i="15"/>
  <c r="O21" i="15"/>
  <c r="O27" i="15"/>
  <c r="O15" i="15"/>
  <c r="O11" i="16"/>
  <c r="O13" i="16"/>
  <c r="O16" i="16"/>
  <c r="O18" i="16"/>
  <c r="O23" i="16"/>
  <c r="O26" i="16"/>
  <c r="O24" i="17"/>
  <c r="O16" i="18"/>
  <c r="T9" i="11"/>
  <c r="N28" i="15"/>
  <c r="J28" i="3"/>
  <c r="T13" i="11" l="1"/>
  <c r="Y13" i="11"/>
  <c r="O28" i="8"/>
  <c r="O28" i="3"/>
  <c r="T17" i="11"/>
  <c r="Y17" i="11"/>
  <c r="O27" i="11"/>
  <c r="Y27" i="11" s="1"/>
  <c r="X27" i="11"/>
  <c r="Y23" i="11"/>
  <c r="T23" i="11"/>
  <c r="T27" i="11" l="1"/>
</calcChain>
</file>

<file path=xl/sharedStrings.xml><?xml version="1.0" encoding="utf-8"?>
<sst xmlns="http://schemas.openxmlformats.org/spreadsheetml/2006/main" count="634" uniqueCount="68">
  <si>
    <t>Ελληνοκύπριοι και άλλοι</t>
  </si>
  <si>
    <t>ΚΟΙΝΟΤΗΤΑ</t>
  </si>
  <si>
    <t>Αρ. Ατόμων</t>
  </si>
  <si>
    <t>Τουρκοκύπριοι</t>
  </si>
  <si>
    <t>ΧΡΟΝΟΣ</t>
  </si>
  <si>
    <t>Γεωργία, δασοκομία και αλιεία</t>
  </si>
  <si>
    <t>Ορυχεία και λατομεία</t>
  </si>
  <si>
    <t>Μεταποίηση</t>
  </si>
  <si>
    <t>Παροχή ηλεκτρικού ρεύματος, φυσικού αερίου, ατμού και κλιματισμού</t>
  </si>
  <si>
    <t>Παροχή νερού, επεξεργασία λυμάτων, διαχείριση αποβλήτων και δραστηριότητες εξυγίανσης</t>
  </si>
  <si>
    <t>Κατασκευές</t>
  </si>
  <si>
    <t>Χονδρικό και λιανικό εμπόριο.  Επισκευή μηχανοκίνητων οχημάτων και μοτοσυκλετών</t>
  </si>
  <si>
    <t>Μεταφορά και αποθήκευση</t>
  </si>
  <si>
    <t>Δραστηριότητες υπηρεσιών παροχής καταλύματος και υπηρεσιών εστίασης</t>
  </si>
  <si>
    <t>Ενημέρωση και επικοινωνία</t>
  </si>
  <si>
    <t>Χρηματοπιστωτικές και ασφαλιστικές δραστηριότητες</t>
  </si>
  <si>
    <t>Διαχείριση ακίνητης περιουσίας</t>
  </si>
  <si>
    <t>Επαγγελματικές, επιστημονικές και τεχνικές δραστηριότητες</t>
  </si>
  <si>
    <t>Διοικητικές και υποστηρικτικές δραστηριότητες</t>
  </si>
  <si>
    <t>Δημόσια διοίκηση και άμυνα. Υποχρεωτική κοινωνική ασφάλιση</t>
  </si>
  <si>
    <t>Εκπαίδευση</t>
  </si>
  <si>
    <t>Δραστηριότητες σχετικές με την ανθρώπινη υγεία και την κοινωνική μέριμνα</t>
  </si>
  <si>
    <t>Τέχνες, διασκέδαση και ψυχαγωγία</t>
  </si>
  <si>
    <t>Άλλες δραστηριότητες παροχής υπηρεσιών</t>
  </si>
  <si>
    <t>Δραστηριότητες νοικοκυριών ως εργοδοτών. Μη διαφοροποιημένες δραστηριότητες νοικοκυριών που αφορούν την παραγωγή αγαθών - και υπηρεσιών - για ιδία χρήση</t>
  </si>
  <si>
    <t>Δραστηριότητες ετερόδικων οργανισμών και φορέων</t>
  </si>
  <si>
    <t>Μη δηλωμένη οικονομική δραστηριότητα</t>
  </si>
  <si>
    <t>ΣΥΝΟΛΟ</t>
  </si>
  <si>
    <r>
      <t>Αλλοδαποί</t>
    </r>
    <r>
      <rPr>
        <vertAlign val="superscript"/>
        <sz val="8"/>
        <rFont val="Arial"/>
        <family val="2"/>
        <charset val="161"/>
      </rPr>
      <t>1</t>
    </r>
  </si>
  <si>
    <r>
      <t>Κοινοτικοί</t>
    </r>
    <r>
      <rPr>
        <vertAlign val="superscript"/>
        <sz val="8"/>
        <rFont val="Arial"/>
        <family val="2"/>
        <charset val="161"/>
      </rPr>
      <t>2</t>
    </r>
  </si>
  <si>
    <r>
      <t xml:space="preserve">1  </t>
    </r>
    <r>
      <rPr>
        <sz val="8"/>
        <rFont val="Arial"/>
        <family val="2"/>
        <charset val="161"/>
      </rPr>
      <t>Πιθανώς να περιλαμβάνονται και άτομα που είναι μόνιμοι κάτοικοι Κύπρου και προέρχονται από Τρίτες Χώρες</t>
    </r>
  </si>
  <si>
    <r>
      <t xml:space="preserve">2  </t>
    </r>
    <r>
      <rPr>
        <sz val="8"/>
        <rFont val="Arial"/>
        <family val="2"/>
        <charset val="161"/>
      </rPr>
      <t>Πιθανώς να περιλαμβάνονται και άτομα που είναι μόνιμοι κάτοικοι Κύπρου και προέρχονται από χώρες του ευρύτερου Ευρωπαϊκού Οικονομικού Χώρου</t>
    </r>
  </si>
  <si>
    <r>
      <t>Ποσό εισφορών στο Τ.Κ.Α. €</t>
    </r>
    <r>
      <rPr>
        <vertAlign val="superscript"/>
        <sz val="8"/>
        <rFont val="Arial"/>
        <family val="2"/>
        <charset val="161"/>
      </rPr>
      <t>3</t>
    </r>
  </si>
  <si>
    <t>ΚΛΑΔΟΣ ΣΤΑΤΙΣΤΙΚΗΣ</t>
  </si>
  <si>
    <t>ΥΠΗΡΕΣΙΕΣ ΚΟΙΝΩΝΙΚΩΝ ΑΣΦΑΛΙΣΕΩΝ</t>
  </si>
  <si>
    <t>Ποσοστό επί του συνόλου</t>
  </si>
  <si>
    <r>
      <t xml:space="preserve">3 </t>
    </r>
    <r>
      <rPr>
        <sz val="9"/>
        <rFont val="Arial"/>
        <family val="2"/>
        <charset val="161"/>
      </rPr>
      <t xml:space="preserve"> </t>
    </r>
    <r>
      <rPr>
        <sz val="8"/>
        <rFont val="Arial"/>
        <family val="2"/>
        <charset val="161"/>
      </rPr>
      <t>Το ποσό εισφορών περιλαμβάνει τη συνολική εισφορά (ποσοστό 17,9%) επί των ασφαλιστέων αποδοχών,  εργοδότης(6,8%), εργοδοτούμενος (6,8%) και το κράτος (4,3%).</t>
    </r>
  </si>
  <si>
    <r>
      <t>Σύνολο Εισφορέων</t>
    </r>
    <r>
      <rPr>
        <b/>
        <vertAlign val="superscript"/>
        <sz val="8"/>
        <rFont val="Arial"/>
        <family val="2"/>
        <charset val="161"/>
      </rPr>
      <t>4</t>
    </r>
  </si>
  <si>
    <r>
      <t xml:space="preserve">4 </t>
    </r>
    <r>
      <rPr>
        <sz val="9"/>
        <rFont val="Arial"/>
        <family val="2"/>
        <charset val="161"/>
      </rPr>
      <t xml:space="preserve"> </t>
    </r>
    <r>
      <rPr>
        <sz val="8"/>
        <rFont val="Arial"/>
        <family val="2"/>
        <charset val="161"/>
      </rPr>
      <t>Εισφορέας σημαίνει το άτομο το οποίο απασχολήθηκε από 1 μέχρι 52 εβδομάδες κατά τη διάρκεια του χρόνου και κατέβαλε εισφορές στο Τ.Κ.Α.</t>
    </r>
  </si>
  <si>
    <r>
      <t>Σύνολο εισφορέων</t>
    </r>
    <r>
      <rPr>
        <vertAlign val="superscript"/>
        <sz val="8"/>
        <rFont val="Arial"/>
        <family val="2"/>
        <charset val="161"/>
      </rPr>
      <t>4</t>
    </r>
    <r>
      <rPr>
        <sz val="8"/>
        <rFont val="Arial"/>
        <family val="2"/>
        <charset val="161"/>
      </rPr>
      <t xml:space="preserve"> και εισφορών</t>
    </r>
  </si>
  <si>
    <t xml:space="preserve"> ΤΟΜΕΑΣ ΟΙΚΟΝΟΜΙΚΗΣ ΔΡΑΣΤΗΡΙΟΤΗΤΑΣ</t>
  </si>
  <si>
    <r>
      <t xml:space="preserve">3 </t>
    </r>
    <r>
      <rPr>
        <sz val="9"/>
        <rFont val="Arial"/>
        <family val="2"/>
        <charset val="161"/>
      </rPr>
      <t xml:space="preserve"> </t>
    </r>
    <r>
      <rPr>
        <sz val="8"/>
        <rFont val="Arial"/>
        <family val="2"/>
        <charset val="161"/>
      </rPr>
      <t>Το ποσό εισφορών περιλαμβάνει τη συνολική εισφορά (ποσοστό 16,6%) επί των ασφαλιστέων αποδοχών,  εργοδότης(6,3%), εργοδοτούμενος (6,3%) και το κράτος (4,0%).</t>
    </r>
  </si>
  <si>
    <r>
      <t xml:space="preserve">3 </t>
    </r>
    <r>
      <rPr>
        <sz val="9"/>
        <rFont val="Arial"/>
        <family val="2"/>
        <charset val="161"/>
      </rPr>
      <t xml:space="preserve"> </t>
    </r>
    <r>
      <rPr>
        <sz val="8"/>
        <rFont val="Arial"/>
        <family val="2"/>
        <charset val="161"/>
      </rPr>
      <t>Το ποσό εισφορών περιλαμβάνει τη συνολική εισφορά εργοδοτών/εργοδοτουμένων και κράτους.  Tο ποσό για το 2009 υπολογίστηκε κατά αναλογία με βάση τις ασφαλιστέες αποδοχές (μισθούς) των εργοδοτουμένων γιατί από τον Απρίλιο του 2009 το ποσοστό εισφοράς αυξήθηκε από 16,6% σε 17,9%, επί των ασφαλιστέων αποδοχών, (εργοδότης από 6,3 % σε 6,8%, εργοδοτούμενος από 6,3% σε 6,8% και το κράτος από 4,0% σε 4,3%).</t>
    </r>
  </si>
  <si>
    <t>Εισφορείς μιισθωτοί-Εισφορές-κατά οικονομική δραστηριότητα-κοινότητα-για τα χρόνια 2007-2010</t>
  </si>
  <si>
    <t>Ασφαλιστικές μονάδες</t>
  </si>
  <si>
    <t xml:space="preserve"> Πίνακας στον οποίο φαίνεται ο συνολικός αριθμός των ενεργών εισφορέων μισθωτών του ιδιωτικού και ημιδημόσιου τομέα και το ποσό εισφορών στο Ταμείο Κοινωνικών Ασφαλίσεων, κατά τομέα οικονομικής δραστηριότητας και κοινότητα, το 2007 </t>
  </si>
  <si>
    <t xml:space="preserve"> Πίνακας στον οποίο φαίνεται ο συνολικός αριθμός των ενεργών εισφορέων μισθωτών του ιδιωτικού και ημιδημόσιου τομέα και το ποσό εισφορών στο Ταμείο Κοινωνικών Ασφαλίσεων, κατά τομέα οικονομικής δραστηριότητας και κοινότητα, το 2008 </t>
  </si>
  <si>
    <t xml:space="preserve"> Πίνακας στον οποίο φαίνεται ο συνολικός αριθμός των ενεργών εισφορέων μισθωτών του ιδιωτικού και ημιδημόσιου τομέα και το ποσό εισφορών στο Ταμείο Κοινωνικών Ασφαλίσεων, κατά τομέα οικονομικής δραστηριότητας και κοινότητα, το 2009</t>
  </si>
  <si>
    <t xml:space="preserve"> Πίνακας στον οποίο φαίνεται ο συνολικός αριθμός των ενεργών εισφορέων μισθωτών του ιδιωτικού και ημιδημόσιου τομέα και το ποσό εισφορών στο Ταμείο Κοινωνικών Ασφαλίσεων, κατά τομέα οικονομικής δραστηριότητας και κοινότητα, το 2010 </t>
  </si>
  <si>
    <t xml:space="preserve"> Πίνακας στον οποίο φαίνεται ο συνολικός αριθμός των ενεργών εισφορέων μισθωτών του ιδιωτικού και ημιδημόσιου τομέα και το ποσό εισφορών στο Ταμείο Κοινωνικών Ασφαλίσεων, κατά τομέα οικονομικής δραστηριότητας και κοινότητα, το 2011 </t>
  </si>
  <si>
    <t>Εισφορείς -Εισφορές-κατά- οικονομική- δραστηριότητα-κοινότητα-για τα χρόνια 2007-2011</t>
  </si>
  <si>
    <t xml:space="preserve"> Πίνακας στον οποίο φαίνεται ο συνολικός αριθμός των ενεργών εισφορέων μισθωτών του ιδιωτικού και ημιδημόσιου τομέα και το ποσό εισφορών στο Ταμείο Κοινωνικών Ασφαλίσεων, κατά τομέα οικονομικής δραστηριότητας και κοινότητα, το 2012 </t>
  </si>
  <si>
    <t xml:space="preserve"> Πίνακας στον οποίο φαίνεται ο συνολικός αριθμός των ενεργών εισφορέων μισθωτών του ιδιωτικού και ημιδημόσιου τομέα και το ποσό εισφορών στο Ταμείο Κοινωνικών Ασφαλίσεων, κατά τομέα οικονομικής δραστηριότητας και κοινότητα, το 2013 </t>
  </si>
  <si>
    <t>Εισφορείς -Εισφορές-κατά- οικονομική- δραστηριότητα-κοινότητα-για τα χρόνια 2007-2014</t>
  </si>
  <si>
    <t xml:space="preserve"> Πίνακας στον οποίο φαίνεται ο συνολικός αριθμός των ενεργών εισφορέων μισθωτών του ιδιωτικού και ημιδημόσιου τομέα και το ποσό εισφορών στο Ταμείο Κοινωνικών Ασφαλίσεων, κατά τομέα οικονομικής δραστηριότητας και κοινότητα, το 2014 </t>
  </si>
  <si>
    <t xml:space="preserve"> Πίνακας στον οποίο φαίνεται ο συνολικός αριθμός των ενεργών εισφορέων μισθωτών του ιδιωτικού και ημιδημόσιου τομέα και το ποσό εισφορών στο Ταμείο Κοινωνικών Ασφαλίσεων, κατά τομέα οικονομικής δραστηριότητας και κοινότητα, το 2015 </t>
  </si>
  <si>
    <t>Εισφορείς -Εισφορές-κατά- οικονομική- δραστηριότητα-κοινότητα-για τα χρόνια 2007-2015</t>
  </si>
  <si>
    <t>Εισφορείς -Εισφορές-κατά- οικονομική- δραστηριότητα-κοινότητα-για τα χρόνια 2007-2012</t>
  </si>
  <si>
    <t>Εισφορείς -Εισφορές-κατά- οικονομική- δραστηριότητα-κοινότητα-για τα χρόνια 2007-2013</t>
  </si>
  <si>
    <r>
      <t xml:space="preserve">3 </t>
    </r>
    <r>
      <rPr>
        <sz val="9"/>
        <rFont val="Arial"/>
        <family val="2"/>
        <charset val="161"/>
      </rPr>
      <t xml:space="preserve"> </t>
    </r>
    <r>
      <rPr>
        <sz val="8"/>
        <rFont val="Arial"/>
        <family val="2"/>
        <charset val="161"/>
      </rPr>
      <t>Το ποσό εισφορών υπολογίζεται  ως η συνολική εισφορά (ποσοστό 20,2%) επί των ασφαλιστέων αποδοχών, εργοδότης(7,8%), εργοδοτούμενος (7,8%) και το κράτος (4,6%).</t>
    </r>
  </si>
  <si>
    <r>
      <t xml:space="preserve">3 </t>
    </r>
    <r>
      <rPr>
        <sz val="9"/>
        <rFont val="Arial"/>
        <family val="2"/>
        <charset val="161"/>
      </rPr>
      <t xml:space="preserve"> </t>
    </r>
    <r>
      <rPr>
        <sz val="8"/>
        <rFont val="Arial"/>
        <family val="2"/>
        <charset val="161"/>
      </rPr>
      <t>Το ποσό εισφορών υπολογίζεται ως η συνολική εισφορά (ποσοστό 20,2%) επί των ασφαλιστέων αποδοχών, εργοδότης(7,8%), εργοδοτούμενος (7,8%) και το κράτος (4,6%).</t>
    </r>
  </si>
  <si>
    <r>
      <t xml:space="preserve">3 </t>
    </r>
    <r>
      <rPr>
        <sz val="9"/>
        <rFont val="Arial"/>
        <family val="2"/>
        <charset val="161"/>
      </rPr>
      <t xml:space="preserve"> </t>
    </r>
    <r>
      <rPr>
        <sz val="8"/>
        <rFont val="Arial"/>
        <family val="2"/>
        <charset val="161"/>
      </rPr>
      <t>Το ποσό εισφορών υπολογίζεται ως η συνολική εισφορά (ποσοστό 17,9%) επί των ασφαλιστέων αποδοχών, εργοδότης(6,8%), εργοδοτούμενος (6,8%) και το κράτος (4,3%).</t>
    </r>
  </si>
  <si>
    <t xml:space="preserve"> Πίνακας στον οποίο φαίνεται ο συνολικός αριθμός των ενεργών εισφορέων μισθωτών του ιδιωτικού και ημιδημόσιου τομέα και το ποσό εισφορών στο Ταμείο Κοινωνικών Ασφαλίσεων, κατά τομέα οικονομικής δραστηριότητας και κοινότητα, το 2016 </t>
  </si>
  <si>
    <t>Εισφορείς -Εισφορές-κατά- οικονομική- δραστηριότητα-κοινότητα-για τα χρόνια 2007-2016</t>
  </si>
  <si>
    <t xml:space="preserve"> Πίνακας στον οποίο φαίνεται ο συνολικός αριθμός των ενεργών εισφορέων μισθωτών του ιδιωτικού και ημιδημόσιου τομέα και το ποσό εισφορών στο Ταμείο Κοινωνικών Ασφαλίσεων, κατά τομέα οικονομικής δραστηριότητας και κοινότητα, το 2017</t>
  </si>
  <si>
    <t>Εισφορείς -Εισφορές-κατά- οικονομική- δραστηριότητα-κοινότητα-για τα χρόνια 2007-2017</t>
  </si>
  <si>
    <t xml:space="preserve"> Πίνακας στον οποίο φαίνεται ο συνολικός αριθμός των ενεργών εισφορέων μισθωτών του ιδιωτικού και ημιδημόσιου τομέα και το ποσό εισφορών στο Ταμείο Κοινωνικών Ασφαλίσεων, κατά τομέα οικονομικής δραστηριότητας και κοινότητα, το 2018</t>
  </si>
  <si>
    <t>Εισφορείς -Εισφορές-κατά- οικονομική- δραστηριότητα-κοινότητα-για τα χρόνια 2007-2018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</si>
</sst>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408]d\-mmm\-yy;@"/>
    <numFmt numFmtId="166" formatCode="#,##0.0"/>
  </numFmts>
  <fonts count="9" x14ac:knownFonts="1">
    <font>
      <sz val="10"/>
      <name val="Arial"/>
      <charset val="161"/>
    </font>
    <font>
      <b/>
      <sz val="9"/>
      <name val="Arial"/>
      <family val="2"/>
      <charset val="161"/>
    </font>
    <font>
      <vertAlign val="superscript"/>
      <sz val="9"/>
      <name val="Arial"/>
      <family val="2"/>
      <charset val="161"/>
    </font>
    <font>
      <sz val="9"/>
      <name val="Arial"/>
      <family val="2"/>
      <charset val="161"/>
    </font>
    <font>
      <sz val="8"/>
      <name val="Arial"/>
      <family val="2"/>
      <charset val="161"/>
    </font>
    <font>
      <b/>
      <sz val="8"/>
      <name val="Arial"/>
      <family val="2"/>
      <charset val="161"/>
    </font>
    <font>
      <vertAlign val="superscript"/>
      <sz val="8"/>
      <name val="Arial"/>
      <family val="2"/>
      <charset val="161"/>
    </font>
    <font>
      <b/>
      <sz val="10"/>
      <name val="Arial"/>
      <family val="2"/>
      <charset val="161"/>
    </font>
    <font>
      <b/>
      <vertAlign val="superscript"/>
      <sz val="8"/>
      <name val="Arial"/>
      <family val="2"/>
      <charset val="161"/>
    </font>
  </fonts>
  <fills count="2">
    <fill>
      <patternFill patternType="none"/>
    </fill>
    <fill>
      <patternFill patternType="gray125"/>
    </fill>
  </fills>
  <borders count="39">
    <border>
      <left/>
      <right/>
      <top/>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138">
    <xf numFmtId="0" fontId="0" fillId="0" borderId="0" xfId="0"/>
    <xf numFmtId="0" fontId="3" fillId="0" borderId="0" xfId="0" applyFont="1"/>
    <xf numFmtId="0" fontId="1" fillId="0" borderId="1" xfId="0" applyFont="1" applyBorder="1" applyAlignment="1">
      <alignment horizontal="center"/>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vertical="center" wrapText="1"/>
    </xf>
    <xf numFmtId="3" fontId="4" fillId="0" borderId="3" xfId="0" applyNumberFormat="1" applyFont="1" applyBorder="1" applyAlignment="1">
      <alignment vertical="center"/>
    </xf>
    <xf numFmtId="0" fontId="4" fillId="0" borderId="3" xfId="0" applyFont="1" applyBorder="1"/>
    <xf numFmtId="0" fontId="4" fillId="0" borderId="2" xfId="0" applyFont="1" applyBorder="1"/>
    <xf numFmtId="0" fontId="4" fillId="0" borderId="5" xfId="0" applyFont="1" applyFill="1" applyBorder="1" applyAlignment="1">
      <alignment vertical="center" wrapText="1"/>
    </xf>
    <xf numFmtId="0" fontId="4" fillId="0" borderId="6" xfId="0" applyFont="1" applyBorder="1"/>
    <xf numFmtId="0" fontId="4" fillId="0" borderId="7" xfId="0" applyFont="1" applyBorder="1"/>
    <xf numFmtId="0" fontId="4" fillId="0" borderId="8" xfId="0" applyFont="1" applyBorder="1"/>
    <xf numFmtId="0" fontId="5" fillId="0" borderId="9" xfId="0" applyFont="1" applyBorder="1" applyAlignment="1">
      <alignment horizontal="left"/>
    </xf>
    <xf numFmtId="0" fontId="4" fillId="0" borderId="0" xfId="0" applyFont="1"/>
    <xf numFmtId="0" fontId="4" fillId="0" borderId="3" xfId="0" applyFont="1" applyBorder="1" applyAlignment="1">
      <alignment vertical="center"/>
    </xf>
    <xf numFmtId="0" fontId="4" fillId="0" borderId="2" xfId="0" applyFont="1" applyBorder="1" applyAlignment="1">
      <alignment vertical="center"/>
    </xf>
    <xf numFmtId="0" fontId="4" fillId="0" borderId="10" xfId="0" applyFont="1" applyBorder="1" applyAlignment="1">
      <alignment horizontal="center" vertical="top" wrapText="1"/>
    </xf>
    <xf numFmtId="0" fontId="4" fillId="0" borderId="10" xfId="0" applyFont="1" applyBorder="1"/>
    <xf numFmtId="0" fontId="4" fillId="0" borderId="10" xfId="0" applyFont="1" applyBorder="1" applyAlignment="1">
      <alignment vertical="center"/>
    </xf>
    <xf numFmtId="0" fontId="4" fillId="0" borderId="11" xfId="0" applyFont="1" applyBorder="1"/>
    <xf numFmtId="165" fontId="4" fillId="0" borderId="0" xfId="0" applyNumberFormat="1" applyFont="1" applyAlignment="1">
      <alignment horizontal="left"/>
    </xf>
    <xf numFmtId="0" fontId="2" fillId="0" borderId="0" xfId="0" applyFont="1" applyAlignment="1">
      <alignment horizontal="left"/>
    </xf>
    <xf numFmtId="0" fontId="3" fillId="0" borderId="0" xfId="0" applyFont="1" applyAlignment="1">
      <alignment horizontal="center"/>
    </xf>
    <xf numFmtId="3" fontId="5" fillId="0" borderId="12" xfId="0" applyNumberFormat="1" applyFont="1" applyBorder="1"/>
    <xf numFmtId="3" fontId="4" fillId="0" borderId="4" xfId="0" applyNumberFormat="1" applyFont="1" applyBorder="1" applyAlignment="1">
      <alignment vertical="center"/>
    </xf>
    <xf numFmtId="3" fontId="5" fillId="0" borderId="13" xfId="0" applyNumberFormat="1" applyFont="1" applyBorder="1"/>
    <xf numFmtId="0" fontId="2" fillId="0" borderId="0" xfId="0" applyFont="1" applyBorder="1" applyAlignment="1"/>
    <xf numFmtId="164" fontId="4" fillId="0" borderId="2" xfId="0" applyNumberFormat="1" applyFont="1" applyBorder="1"/>
    <xf numFmtId="0" fontId="4" fillId="0" borderId="14" xfId="0" applyFont="1" applyBorder="1" applyAlignment="1">
      <alignment vertical="center"/>
    </xf>
    <xf numFmtId="0" fontId="4" fillId="0" borderId="15" xfId="0" applyFont="1" applyBorder="1" applyAlignment="1">
      <alignment horizontal="center" vertical="top" wrapText="1"/>
    </xf>
    <xf numFmtId="166" fontId="5" fillId="0" borderId="12" xfId="0" applyNumberFormat="1" applyFont="1" applyBorder="1"/>
    <xf numFmtId="3" fontId="4" fillId="0" borderId="7" xfId="0" applyNumberFormat="1" applyFont="1" applyBorder="1" applyAlignment="1">
      <alignment vertical="center"/>
    </xf>
    <xf numFmtId="164" fontId="4" fillId="0" borderId="8" xfId="0" applyNumberFormat="1" applyFont="1" applyBorder="1"/>
    <xf numFmtId="0" fontId="6" fillId="0" borderId="0" xfId="0" applyFont="1" applyBorder="1" applyAlignment="1">
      <alignment horizontal="left"/>
    </xf>
    <xf numFmtId="164" fontId="5" fillId="0" borderId="16" xfId="0" applyNumberFormat="1" applyFont="1" applyBorder="1"/>
    <xf numFmtId="164" fontId="5" fillId="0" borderId="17" xfId="0" applyNumberFormat="1" applyFont="1" applyBorder="1"/>
    <xf numFmtId="0" fontId="4" fillId="0" borderId="18" xfId="0" applyFont="1" applyBorder="1" applyAlignment="1">
      <alignment horizontal="center" vertical="top" wrapText="1"/>
    </xf>
    <xf numFmtId="0" fontId="4" fillId="0" borderId="7" xfId="0" applyFont="1" applyBorder="1" applyAlignment="1">
      <alignment horizontal="center" vertical="top" wrapText="1"/>
    </xf>
    <xf numFmtId="0" fontId="4" fillId="0" borderId="15" xfId="0" applyFont="1" applyBorder="1"/>
    <xf numFmtId="0" fontId="4" fillId="0" borderId="19" xfId="0" applyFont="1" applyBorder="1"/>
    <xf numFmtId="0" fontId="6" fillId="0" borderId="20" xfId="0" applyFont="1" applyBorder="1" applyAlignment="1"/>
    <xf numFmtId="0" fontId="1" fillId="0" borderId="21" xfId="0" applyFont="1" applyBorder="1" applyAlignment="1">
      <alignment horizontal="center"/>
    </xf>
    <xf numFmtId="164" fontId="4" fillId="0" borderId="22" xfId="0" applyNumberFormat="1" applyFont="1" applyBorder="1"/>
    <xf numFmtId="164" fontId="4" fillId="0" borderId="23" xfId="0" applyNumberFormat="1" applyFont="1" applyBorder="1"/>
    <xf numFmtId="4" fontId="5" fillId="0" borderId="12" xfId="0" applyNumberFormat="1" applyFont="1" applyBorder="1"/>
    <xf numFmtId="3" fontId="4" fillId="0" borderId="24" xfId="0" applyNumberFormat="1" applyFont="1" applyBorder="1" applyAlignment="1">
      <alignment vertical="center"/>
    </xf>
    <xf numFmtId="3" fontId="5" fillId="0" borderId="12" xfId="0" applyNumberFormat="1" applyFont="1" applyBorder="1" applyAlignment="1">
      <alignment vertical="center"/>
    </xf>
    <xf numFmtId="3" fontId="5" fillId="0" borderId="16" xfId="0" applyNumberFormat="1" applyFont="1" applyBorder="1"/>
    <xf numFmtId="4" fontId="4" fillId="0" borderId="3" xfId="0" applyNumberFormat="1" applyFont="1" applyBorder="1" applyAlignment="1">
      <alignment vertical="center"/>
    </xf>
    <xf numFmtId="4" fontId="4" fillId="0" borderId="3" xfId="0" applyNumberFormat="1" applyFont="1" applyBorder="1"/>
    <xf numFmtId="4" fontId="4" fillId="0" borderId="7" xfId="0" applyNumberFormat="1" applyFont="1" applyBorder="1"/>
    <xf numFmtId="0" fontId="4" fillId="0" borderId="3" xfId="0" applyNumberFormat="1" applyFont="1" applyBorder="1" applyAlignment="1">
      <alignment vertical="center"/>
    </xf>
    <xf numFmtId="0" fontId="4" fillId="0" borderId="3" xfId="0" applyNumberFormat="1" applyFont="1" applyBorder="1"/>
    <xf numFmtId="0" fontId="4" fillId="0" borderId="7" xfId="0" applyNumberFormat="1" applyFont="1" applyBorder="1"/>
    <xf numFmtId="0" fontId="5" fillId="0" borderId="12" xfId="0" applyNumberFormat="1" applyFont="1" applyBorder="1"/>
    <xf numFmtId="0" fontId="4" fillId="0" borderId="15" xfId="0" applyNumberFormat="1" applyFont="1" applyBorder="1" applyAlignment="1">
      <alignment vertical="center"/>
    </xf>
    <xf numFmtId="0" fontId="4" fillId="0" borderId="7" xfId="0" applyNumberFormat="1" applyFont="1" applyBorder="1" applyAlignment="1">
      <alignment vertical="center"/>
    </xf>
    <xf numFmtId="0" fontId="0" fillId="0" borderId="0" xfId="0" applyAlignment="1">
      <alignment horizontal="center"/>
    </xf>
    <xf numFmtId="14" fontId="4" fillId="0" borderId="0" xfId="0" applyNumberFormat="1" applyFont="1" applyAlignment="1">
      <alignment horizontal="left"/>
    </xf>
    <xf numFmtId="0" fontId="5" fillId="0" borderId="25" xfId="0" applyFont="1" applyBorder="1" applyAlignment="1">
      <alignment vertical="center" wrapText="1"/>
    </xf>
    <xf numFmtId="0" fontId="5" fillId="0" borderId="26" xfId="0" applyFont="1" applyBorder="1" applyAlignment="1">
      <alignment vertical="center" wrapText="1"/>
    </xf>
    <xf numFmtId="0" fontId="4" fillId="0" borderId="8" xfId="0" applyFont="1" applyBorder="1" applyAlignment="1">
      <alignment horizontal="center" vertical="top" wrapText="1"/>
    </xf>
    <xf numFmtId="0" fontId="4" fillId="0" borderId="19" xfId="0" applyFont="1" applyBorder="1" applyAlignment="1">
      <alignment horizontal="center" vertical="top" wrapText="1"/>
    </xf>
    <xf numFmtId="3" fontId="4" fillId="0" borderId="27" xfId="0" applyNumberFormat="1" applyFont="1" applyBorder="1" applyAlignment="1">
      <alignment vertical="center"/>
    </xf>
    <xf numFmtId="0" fontId="7" fillId="0" borderId="28" xfId="0" applyFont="1" applyBorder="1" applyAlignment="1">
      <alignment vertical="center" wrapText="1"/>
    </xf>
    <xf numFmtId="2" fontId="4" fillId="0" borderId="3" xfId="0" applyNumberFormat="1" applyFont="1" applyBorder="1"/>
    <xf numFmtId="3" fontId="4" fillId="0" borderId="3" xfId="0" applyNumberFormat="1" applyFont="1" applyFill="1" applyBorder="1" applyAlignment="1">
      <alignment vertical="center"/>
    </xf>
    <xf numFmtId="4" fontId="4" fillId="0" borderId="3" xfId="0" applyNumberFormat="1" applyFont="1" applyFill="1" applyBorder="1" applyAlignment="1">
      <alignment vertical="center"/>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3" fontId="4" fillId="0" borderId="4" xfId="0" applyNumberFormat="1" applyFont="1" applyFill="1" applyBorder="1" applyAlignment="1">
      <alignment vertical="center"/>
    </xf>
    <xf numFmtId="0" fontId="4" fillId="0" borderId="3" xfId="0" applyFont="1" applyFill="1" applyBorder="1"/>
    <xf numFmtId="4" fontId="4" fillId="0" borderId="3" xfId="0" applyNumberFormat="1" applyFont="1" applyFill="1" applyBorder="1"/>
    <xf numFmtId="0" fontId="4" fillId="0" borderId="3" xfId="0" applyFont="1" applyFill="1" applyBorder="1" applyAlignment="1">
      <alignment vertical="center"/>
    </xf>
    <xf numFmtId="0" fontId="4" fillId="0" borderId="4" xfId="0" applyFont="1" applyFill="1" applyBorder="1" applyAlignment="1">
      <alignment horizontal="center" vertical="top" wrapText="1"/>
    </xf>
    <xf numFmtId="0" fontId="4" fillId="0" borderId="7" xfId="0" applyFont="1" applyFill="1" applyBorder="1"/>
    <xf numFmtId="3" fontId="4" fillId="0" borderId="7" xfId="0" applyNumberFormat="1" applyFont="1" applyFill="1" applyBorder="1" applyAlignment="1">
      <alignment vertical="center"/>
    </xf>
    <xf numFmtId="4" fontId="4" fillId="0" borderId="7" xfId="0" applyNumberFormat="1" applyFont="1" applyFill="1" applyBorder="1"/>
    <xf numFmtId="3" fontId="4" fillId="0" borderId="24" xfId="0" applyNumberFormat="1" applyFont="1" applyFill="1" applyBorder="1" applyAlignment="1">
      <alignment vertical="center"/>
    </xf>
    <xf numFmtId="3" fontId="5" fillId="0" borderId="12" xfId="0" applyNumberFormat="1" applyFont="1" applyFill="1" applyBorder="1"/>
    <xf numFmtId="4" fontId="5" fillId="0" borderId="12" xfId="0" applyNumberFormat="1" applyFont="1" applyFill="1" applyBorder="1"/>
    <xf numFmtId="3" fontId="5" fillId="0" borderId="12" xfId="0" applyNumberFormat="1" applyFont="1" applyFill="1" applyBorder="1" applyAlignment="1">
      <alignment vertical="center"/>
    </xf>
    <xf numFmtId="3" fontId="5" fillId="0" borderId="13" xfId="0" applyNumberFormat="1" applyFont="1" applyFill="1" applyBorder="1"/>
    <xf numFmtId="0" fontId="0" fillId="0" borderId="0" xfId="0" applyFill="1"/>
    <xf numFmtId="0" fontId="3" fillId="0" borderId="0" xfId="0" applyFont="1" applyFill="1"/>
    <xf numFmtId="0" fontId="3" fillId="0" borderId="0" xfId="0" applyFont="1" applyFill="1" applyAlignment="1">
      <alignment horizontal="center"/>
    </xf>
    <xf numFmtId="4" fontId="0" fillId="0" borderId="0" xfId="0" applyNumberFormat="1" applyFill="1"/>
    <xf numFmtId="0" fontId="4" fillId="0" borderId="15" xfId="0" applyFont="1" applyBorder="1" applyAlignment="1">
      <alignment horizontal="center" vertical="center" wrapText="1"/>
    </xf>
    <xf numFmtId="0" fontId="4" fillId="0" borderId="27" xfId="0" applyFont="1" applyBorder="1" applyAlignment="1">
      <alignment horizontal="center" vertical="center" wrapText="1"/>
    </xf>
    <xf numFmtId="0" fontId="6" fillId="0" borderId="20" xfId="0" applyFont="1" applyBorder="1" applyAlignment="1">
      <alignment horizontal="left"/>
    </xf>
    <xf numFmtId="0" fontId="6" fillId="0" borderId="0" xfId="0" applyFont="1" applyAlignment="1">
      <alignment horizontal="left" wrapText="1"/>
    </xf>
    <xf numFmtId="0" fontId="1" fillId="0" borderId="0" xfId="0" applyFont="1" applyAlignment="1">
      <alignment horizontal="center" vertical="center" wrapText="1"/>
    </xf>
    <xf numFmtId="0" fontId="1" fillId="0" borderId="2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0" xfId="0" applyFont="1" applyBorder="1" applyAlignment="1">
      <alignment horizontal="center"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18" xfId="0" applyFont="1" applyBorder="1" applyAlignment="1">
      <alignment horizontal="center" vertical="center"/>
    </xf>
    <xf numFmtId="0" fontId="5" fillId="0" borderId="10" xfId="0" applyFont="1" applyBorder="1" applyAlignment="1">
      <alignment horizontal="center" vertical="center"/>
    </xf>
    <xf numFmtId="0" fontId="5" fillId="0" borderId="22" xfId="0" applyFont="1" applyBorder="1" applyAlignment="1">
      <alignment horizontal="center" vertical="center"/>
    </xf>
    <xf numFmtId="0" fontId="4" fillId="0" borderId="19" xfId="0" applyFont="1" applyBorder="1" applyAlignment="1">
      <alignment horizontal="center" vertical="center" wrapText="1"/>
    </xf>
    <xf numFmtId="0" fontId="1" fillId="0" borderId="18" xfId="0" applyFont="1" applyBorder="1" applyAlignment="1">
      <alignment horizontal="center" vertical="center"/>
    </xf>
    <xf numFmtId="0" fontId="1" fillId="0" borderId="10" xfId="0" applyFont="1" applyBorder="1" applyAlignment="1">
      <alignment horizontal="center" vertical="center"/>
    </xf>
    <xf numFmtId="0" fontId="1" fillId="0" borderId="22" xfId="0" applyFont="1" applyBorder="1" applyAlignment="1">
      <alignment horizontal="center" vertical="center"/>
    </xf>
    <xf numFmtId="0" fontId="4" fillId="0" borderId="14" xfId="0" applyFont="1" applyBorder="1" applyAlignment="1">
      <alignment horizontal="center" vertical="center"/>
    </xf>
    <xf numFmtId="0" fontId="4" fillId="0" borderId="34" xfId="0" applyFont="1" applyBorder="1" applyAlignment="1">
      <alignment horizontal="center" vertical="center"/>
    </xf>
    <xf numFmtId="0" fontId="5" fillId="0" borderId="35" xfId="0" applyFont="1" applyBorder="1" applyAlignment="1">
      <alignment horizontal="center" vertical="center" wrapText="1"/>
    </xf>
    <xf numFmtId="0" fontId="5" fillId="0" borderId="23" xfId="0" applyFont="1" applyBorder="1" applyAlignment="1">
      <alignment horizontal="center" vertical="center" wrapText="1"/>
    </xf>
    <xf numFmtId="0" fontId="1" fillId="0" borderId="28" xfId="0" applyFont="1" applyBorder="1" applyAlignment="1">
      <alignment horizontal="center" vertical="center" wrapText="1"/>
    </xf>
    <xf numFmtId="0" fontId="2" fillId="0" borderId="0" xfId="0" applyFont="1" applyAlignment="1">
      <alignment horizontal="left" vertical="center" wrapText="1"/>
    </xf>
    <xf numFmtId="0" fontId="5" fillId="0" borderId="3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7" xfId="0" applyFont="1" applyBorder="1" applyAlignment="1">
      <alignment horizontal="center" vertical="top" wrapText="1"/>
    </xf>
    <xf numFmtId="0" fontId="4" fillId="0" borderId="15" xfId="0" applyFont="1" applyBorder="1" applyAlignment="1">
      <alignment horizontal="center" vertical="top" wrapText="1"/>
    </xf>
    <xf numFmtId="0" fontId="4" fillId="0" borderId="10" xfId="0" applyFont="1" applyBorder="1" applyAlignment="1">
      <alignment horizontal="center" vertical="center"/>
    </xf>
    <xf numFmtId="0" fontId="5" fillId="0" borderId="2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8" xfId="0" applyFont="1" applyBorder="1" applyAlignment="1">
      <alignment vertical="center" wrapText="1"/>
    </xf>
    <xf numFmtId="0" fontId="5" fillId="0" borderId="5" xfId="0" applyFont="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2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18"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3"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workbookViewId="0">
      <selection activeCell="A3" sqref="A3:A5"/>
    </sheetView>
  </sheetViews>
  <sheetFormatPr defaultRowHeight="12.75" x14ac:dyDescent="0.2"/>
  <cols>
    <col min="1" max="1" width="41.7109375" customWidth="1"/>
    <col min="3" max="3" width="9.140625" hidden="1" customWidth="1"/>
    <col min="4" max="4" width="9.7109375" customWidth="1"/>
    <col min="6" max="6" width="9.140625" hidden="1" customWidth="1"/>
    <col min="9" max="9" width="9.140625" hidden="1" customWidth="1"/>
    <col min="12" max="12" width="9.140625" hidden="1" customWidth="1"/>
    <col min="15" max="15" width="10" customWidth="1"/>
  </cols>
  <sheetData>
    <row r="1" spans="1:15" ht="27.75" customHeight="1" thickBot="1" x14ac:dyDescent="0.25">
      <c r="A1" s="93" t="s">
        <v>45</v>
      </c>
      <c r="B1" s="93"/>
      <c r="C1" s="93"/>
      <c r="D1" s="93"/>
      <c r="E1" s="93"/>
      <c r="F1" s="93"/>
      <c r="G1" s="93"/>
      <c r="H1" s="93"/>
      <c r="I1" s="93"/>
      <c r="J1" s="93"/>
      <c r="K1" s="93"/>
      <c r="L1" s="93"/>
      <c r="M1" s="93"/>
      <c r="N1" s="93"/>
      <c r="O1" s="93"/>
    </row>
    <row r="2" spans="1:15" x14ac:dyDescent="0.2">
      <c r="A2" s="2" t="s">
        <v>4</v>
      </c>
      <c r="B2" s="94">
        <v>2007</v>
      </c>
      <c r="C2" s="95"/>
      <c r="D2" s="95"/>
      <c r="E2" s="95"/>
      <c r="F2" s="95"/>
      <c r="G2" s="95"/>
      <c r="H2" s="95"/>
      <c r="I2" s="95"/>
      <c r="J2" s="95"/>
      <c r="K2" s="95"/>
      <c r="L2" s="95"/>
      <c r="M2" s="95"/>
      <c r="N2" s="95"/>
      <c r="O2" s="96"/>
    </row>
    <row r="3" spans="1:15" x14ac:dyDescent="0.2">
      <c r="A3" s="97" t="s">
        <v>40</v>
      </c>
      <c r="B3" s="100" t="s">
        <v>1</v>
      </c>
      <c r="C3" s="101"/>
      <c r="D3" s="101"/>
      <c r="E3" s="101"/>
      <c r="F3" s="101"/>
      <c r="G3" s="101"/>
      <c r="H3" s="101"/>
      <c r="I3" s="101"/>
      <c r="J3" s="101"/>
      <c r="K3" s="101"/>
      <c r="L3" s="101"/>
      <c r="M3" s="101"/>
      <c r="N3" s="101"/>
      <c r="O3" s="102"/>
    </row>
    <row r="4" spans="1:15" ht="21.75" customHeight="1" x14ac:dyDescent="0.2">
      <c r="A4" s="98"/>
      <c r="B4" s="103" t="s">
        <v>0</v>
      </c>
      <c r="C4" s="103"/>
      <c r="D4" s="89"/>
      <c r="E4" s="89" t="s">
        <v>3</v>
      </c>
      <c r="F4" s="89"/>
      <c r="G4" s="89"/>
      <c r="H4" s="89" t="s">
        <v>28</v>
      </c>
      <c r="I4" s="89"/>
      <c r="J4" s="89"/>
      <c r="K4" s="89" t="s">
        <v>29</v>
      </c>
      <c r="L4" s="89"/>
      <c r="M4" s="89"/>
      <c r="N4" s="89" t="s">
        <v>39</v>
      </c>
      <c r="O4" s="90"/>
    </row>
    <row r="5" spans="1:15" ht="45" x14ac:dyDescent="0.2">
      <c r="A5" s="99"/>
      <c r="B5" s="3" t="s">
        <v>2</v>
      </c>
      <c r="C5" s="3"/>
      <c r="D5" s="4" t="s">
        <v>32</v>
      </c>
      <c r="E5" s="4" t="s">
        <v>2</v>
      </c>
      <c r="F5" s="4"/>
      <c r="G5" s="4" t="s">
        <v>32</v>
      </c>
      <c r="H5" s="4" t="s">
        <v>2</v>
      </c>
      <c r="I5" s="4"/>
      <c r="J5" s="4" t="s">
        <v>32</v>
      </c>
      <c r="K5" s="4" t="s">
        <v>2</v>
      </c>
      <c r="L5" s="4"/>
      <c r="M5" s="4" t="s">
        <v>32</v>
      </c>
      <c r="N5" s="4" t="s">
        <v>2</v>
      </c>
      <c r="O5" s="5" t="s">
        <v>32</v>
      </c>
    </row>
    <row r="6" spans="1:15" ht="13.5" customHeight="1" x14ac:dyDescent="0.2">
      <c r="A6" s="6" t="s">
        <v>5</v>
      </c>
      <c r="B6" s="7">
        <v>1929</v>
      </c>
      <c r="C6" s="7">
        <v>3197.32</v>
      </c>
      <c r="D6" s="7">
        <f>C6*7668*0.166</f>
        <v>4069830.2601600005</v>
      </c>
      <c r="E6" s="7">
        <v>12</v>
      </c>
      <c r="F6" s="7">
        <v>10.1</v>
      </c>
      <c r="G6" s="7">
        <f>F6*7668*0.166</f>
        <v>12856.168800000001</v>
      </c>
      <c r="H6" s="7">
        <v>5607</v>
      </c>
      <c r="I6" s="7">
        <v>2261.11</v>
      </c>
      <c r="J6" s="7">
        <f>I6*7668*0.166</f>
        <v>2878139.7856800002</v>
      </c>
      <c r="K6" s="7">
        <v>999</v>
      </c>
      <c r="L6" s="7">
        <v>470.96</v>
      </c>
      <c r="M6" s="7">
        <f>L6*7668*0.166</f>
        <v>599479.33247999998</v>
      </c>
      <c r="N6" s="7">
        <f>B6+E6+H6+K6</f>
        <v>8547</v>
      </c>
      <c r="O6" s="26">
        <f>D6+G6+J6+M6</f>
        <v>7560305.5471200012</v>
      </c>
    </row>
    <row r="7" spans="1:15" ht="12.75" customHeight="1" x14ac:dyDescent="0.2">
      <c r="A7" s="6" t="s">
        <v>6</v>
      </c>
      <c r="B7" s="7">
        <v>662</v>
      </c>
      <c r="C7" s="7">
        <v>2001.8</v>
      </c>
      <c r="D7" s="7">
        <f t="shared" ref="D7:D27" si="0">C7*7668*0.166</f>
        <v>2548067.1984000001</v>
      </c>
      <c r="E7" s="7">
        <v>13</v>
      </c>
      <c r="F7" s="7">
        <v>29.19</v>
      </c>
      <c r="G7" s="7">
        <f t="shared" ref="G7:G27" si="1">F7*7668*0.166</f>
        <v>37155.600720000002</v>
      </c>
      <c r="H7" s="7">
        <v>50</v>
      </c>
      <c r="I7" s="7">
        <v>96.71</v>
      </c>
      <c r="J7" s="7">
        <f t="shared" ref="J7:J27" si="2">I7*7668*0.166</f>
        <v>123100.99847999999</v>
      </c>
      <c r="K7" s="7">
        <v>90</v>
      </c>
      <c r="L7" s="7">
        <v>121.69</v>
      </c>
      <c r="M7" s="7">
        <f t="shared" ref="M7:M27" si="3">L7*7668*0.166</f>
        <v>154897.74072</v>
      </c>
      <c r="N7" s="7">
        <f>B7+E7+H7+K7</f>
        <v>815</v>
      </c>
      <c r="O7" s="26">
        <f>D7+G7+J7+M7</f>
        <v>2863221.5383200003</v>
      </c>
    </row>
    <row r="8" spans="1:15" ht="12" customHeight="1" x14ac:dyDescent="0.2">
      <c r="A8" s="6" t="s">
        <v>7</v>
      </c>
      <c r="B8" s="7">
        <v>27597</v>
      </c>
      <c r="C8" s="7">
        <v>55388.6</v>
      </c>
      <c r="D8" s="7">
        <f t="shared" si="0"/>
        <v>70503484.276800007</v>
      </c>
      <c r="E8" s="7">
        <v>337</v>
      </c>
      <c r="F8" s="7">
        <v>445.57</v>
      </c>
      <c r="G8" s="7">
        <f t="shared" si="1"/>
        <v>567160.70615999994</v>
      </c>
      <c r="H8" s="7">
        <v>4161</v>
      </c>
      <c r="I8" s="7">
        <v>5423.33</v>
      </c>
      <c r="J8" s="7">
        <f t="shared" si="2"/>
        <v>6903291.6770399995</v>
      </c>
      <c r="K8" s="7">
        <v>5805</v>
      </c>
      <c r="L8" s="7">
        <v>5125.18</v>
      </c>
      <c r="M8" s="7">
        <f t="shared" si="3"/>
        <v>6523780.1198400008</v>
      </c>
      <c r="N8" s="7">
        <f t="shared" ref="N8:N27" si="4">B8+E8+H8+K8</f>
        <v>37900</v>
      </c>
      <c r="O8" s="26">
        <f t="shared" ref="O8:O27" si="5">D8+G8+J8+M8</f>
        <v>84497716.779839993</v>
      </c>
    </row>
    <row r="9" spans="1:15" ht="20.25" customHeight="1" x14ac:dyDescent="0.2">
      <c r="A9" s="6" t="s">
        <v>8</v>
      </c>
      <c r="B9" s="7">
        <v>2342</v>
      </c>
      <c r="C9" s="7">
        <v>8299.73</v>
      </c>
      <c r="D9" s="7">
        <f t="shared" si="0"/>
        <v>10564626.720239999</v>
      </c>
      <c r="E9" s="7">
        <v>0</v>
      </c>
      <c r="F9" s="7">
        <v>0</v>
      </c>
      <c r="G9" s="7">
        <f t="shared" si="1"/>
        <v>0</v>
      </c>
      <c r="H9" s="7">
        <v>16</v>
      </c>
      <c r="I9" s="7">
        <v>39.869999999999997</v>
      </c>
      <c r="J9" s="7">
        <f t="shared" si="2"/>
        <v>50750.044559999995</v>
      </c>
      <c r="K9" s="7">
        <v>14</v>
      </c>
      <c r="L9" s="7">
        <v>28.39</v>
      </c>
      <c r="M9" s="7">
        <f t="shared" si="3"/>
        <v>36137.290320000007</v>
      </c>
      <c r="N9" s="7">
        <f t="shared" si="4"/>
        <v>2372</v>
      </c>
      <c r="O9" s="26">
        <f t="shared" si="5"/>
        <v>10651514.055119999</v>
      </c>
    </row>
    <row r="10" spans="1:15" ht="21" customHeight="1" x14ac:dyDescent="0.2">
      <c r="A10" s="6" t="s">
        <v>9</v>
      </c>
      <c r="B10" s="7">
        <v>742</v>
      </c>
      <c r="C10" s="7">
        <v>1984.59</v>
      </c>
      <c r="D10" s="7">
        <f t="shared" si="0"/>
        <v>2526160.7959199999</v>
      </c>
      <c r="E10" s="7">
        <v>1</v>
      </c>
      <c r="F10" s="7">
        <v>0.02</v>
      </c>
      <c r="G10" s="7">
        <f t="shared" si="1"/>
        <v>25.457760000000004</v>
      </c>
      <c r="H10" s="7">
        <v>97</v>
      </c>
      <c r="I10" s="7">
        <v>113.54</v>
      </c>
      <c r="J10" s="7">
        <f t="shared" si="2"/>
        <v>144523.70352000001</v>
      </c>
      <c r="K10" s="7">
        <v>144</v>
      </c>
      <c r="L10" s="7">
        <v>152.72</v>
      </c>
      <c r="M10" s="7">
        <f t="shared" si="3"/>
        <v>194395.45535999999</v>
      </c>
      <c r="N10" s="7">
        <f t="shared" si="4"/>
        <v>984</v>
      </c>
      <c r="O10" s="26">
        <f t="shared" si="5"/>
        <v>2865105.4125600001</v>
      </c>
    </row>
    <row r="11" spans="1:15" ht="12.75" customHeight="1" x14ac:dyDescent="0.2">
      <c r="A11" s="6" t="s">
        <v>10</v>
      </c>
      <c r="B11" s="7">
        <v>25806</v>
      </c>
      <c r="C11" s="7">
        <v>53588.1</v>
      </c>
      <c r="D11" s="7">
        <f t="shared" si="0"/>
        <v>68211649.43280001</v>
      </c>
      <c r="E11" s="7">
        <v>2351</v>
      </c>
      <c r="F11" s="7">
        <v>3242.49</v>
      </c>
      <c r="G11" s="7">
        <f t="shared" si="1"/>
        <v>4127326.6111199996</v>
      </c>
      <c r="H11" s="7">
        <v>5069</v>
      </c>
      <c r="I11" s="7">
        <v>7027.42</v>
      </c>
      <c r="J11" s="7">
        <f t="shared" si="2"/>
        <v>8945118.5889600012</v>
      </c>
      <c r="K11" s="7">
        <v>11308</v>
      </c>
      <c r="L11" s="7">
        <v>10889.36</v>
      </c>
      <c r="M11" s="7">
        <f t="shared" si="3"/>
        <v>13860935.671680002</v>
      </c>
      <c r="N11" s="7">
        <f t="shared" si="4"/>
        <v>44534</v>
      </c>
      <c r="O11" s="26">
        <f t="shared" si="5"/>
        <v>95145030.304560021</v>
      </c>
    </row>
    <row r="12" spans="1:15" ht="21.75" customHeight="1" x14ac:dyDescent="0.2">
      <c r="A12" s="6" t="s">
        <v>11</v>
      </c>
      <c r="B12" s="7">
        <v>51566</v>
      </c>
      <c r="C12" s="7">
        <v>87733.82</v>
      </c>
      <c r="D12" s="7">
        <f t="shared" si="0"/>
        <v>111675326.67216003</v>
      </c>
      <c r="E12" s="7">
        <v>223</v>
      </c>
      <c r="F12" s="7">
        <v>273.83</v>
      </c>
      <c r="G12" s="7">
        <f t="shared" si="1"/>
        <v>348554.92103999999</v>
      </c>
      <c r="H12" s="7">
        <v>6707</v>
      </c>
      <c r="I12" s="7">
        <v>8531.8700000000008</v>
      </c>
      <c r="J12" s="7">
        <f t="shared" si="2"/>
        <v>10860114.940560002</v>
      </c>
      <c r="K12" s="7">
        <v>6882</v>
      </c>
      <c r="L12" s="7">
        <v>6618.61</v>
      </c>
      <c r="M12" s="7">
        <f t="shared" si="3"/>
        <v>8424749.2456800006</v>
      </c>
      <c r="N12" s="7">
        <f t="shared" si="4"/>
        <v>65378</v>
      </c>
      <c r="O12" s="26">
        <f t="shared" si="5"/>
        <v>131308745.77944003</v>
      </c>
    </row>
    <row r="13" spans="1:15" ht="12.75" customHeight="1" x14ac:dyDescent="0.2">
      <c r="A13" s="6" t="s">
        <v>12</v>
      </c>
      <c r="B13" s="7">
        <v>9780</v>
      </c>
      <c r="C13" s="7">
        <v>23556.39</v>
      </c>
      <c r="D13" s="7">
        <f t="shared" si="0"/>
        <v>29984646.154319998</v>
      </c>
      <c r="E13" s="7">
        <v>28</v>
      </c>
      <c r="F13" s="7">
        <v>39.57</v>
      </c>
      <c r="G13" s="7">
        <f t="shared" si="1"/>
        <v>50368.178160000003</v>
      </c>
      <c r="H13" s="7">
        <v>692</v>
      </c>
      <c r="I13" s="7">
        <v>1473.53</v>
      </c>
      <c r="J13" s="7">
        <f t="shared" si="2"/>
        <v>1875638.6546399998</v>
      </c>
      <c r="K13" s="7">
        <v>2174</v>
      </c>
      <c r="L13" s="7">
        <v>3053.33</v>
      </c>
      <c r="M13" s="7">
        <f t="shared" si="3"/>
        <v>3886547.1170399999</v>
      </c>
      <c r="N13" s="7">
        <f t="shared" si="4"/>
        <v>12674</v>
      </c>
      <c r="O13" s="26">
        <f t="shared" si="5"/>
        <v>35797200.104159996</v>
      </c>
    </row>
    <row r="14" spans="1:15" ht="20.25" customHeight="1" x14ac:dyDescent="0.2">
      <c r="A14" s="6" t="s">
        <v>13</v>
      </c>
      <c r="B14" s="7">
        <v>22134</v>
      </c>
      <c r="C14" s="7">
        <v>34008.230000000003</v>
      </c>
      <c r="D14" s="7">
        <f t="shared" si="0"/>
        <v>43288667.868240006</v>
      </c>
      <c r="E14" s="7">
        <v>144</v>
      </c>
      <c r="F14" s="7">
        <v>207.22</v>
      </c>
      <c r="G14" s="7">
        <f t="shared" si="1"/>
        <v>263767.85136000003</v>
      </c>
      <c r="H14" s="7">
        <v>10280</v>
      </c>
      <c r="I14" s="7">
        <v>7611.93</v>
      </c>
      <c r="J14" s="7">
        <f t="shared" si="2"/>
        <v>9689134.3538400009</v>
      </c>
      <c r="K14" s="7">
        <v>15423</v>
      </c>
      <c r="L14" s="7">
        <v>10294.77</v>
      </c>
      <c r="M14" s="7">
        <f t="shared" si="3"/>
        <v>13104089.19576</v>
      </c>
      <c r="N14" s="7">
        <f t="shared" si="4"/>
        <v>47981</v>
      </c>
      <c r="O14" s="26">
        <f t="shared" si="5"/>
        <v>66345659.269200012</v>
      </c>
    </row>
    <row r="15" spans="1:15" ht="12" customHeight="1" x14ac:dyDescent="0.2">
      <c r="A15" s="6" t="s">
        <v>14</v>
      </c>
      <c r="B15" s="7">
        <v>8055</v>
      </c>
      <c r="C15" s="7">
        <v>23262.28</v>
      </c>
      <c r="D15" s="7">
        <f t="shared" si="0"/>
        <v>29610277.06464</v>
      </c>
      <c r="E15" s="7">
        <v>26</v>
      </c>
      <c r="F15" s="7">
        <v>56.71</v>
      </c>
      <c r="G15" s="7">
        <f t="shared" si="1"/>
        <v>72185.478480000005</v>
      </c>
      <c r="H15" s="7">
        <v>602</v>
      </c>
      <c r="I15" s="7">
        <v>1404.61</v>
      </c>
      <c r="J15" s="7">
        <f t="shared" si="2"/>
        <v>1787911.2136799998</v>
      </c>
      <c r="K15" s="7">
        <v>949</v>
      </c>
      <c r="L15" s="7">
        <v>1977.9</v>
      </c>
      <c r="M15" s="7">
        <f t="shared" si="3"/>
        <v>2517645.1752000004</v>
      </c>
      <c r="N15" s="7">
        <f t="shared" si="4"/>
        <v>9632</v>
      </c>
      <c r="O15" s="26">
        <f t="shared" si="5"/>
        <v>33988018.931999996</v>
      </c>
    </row>
    <row r="16" spans="1:15" ht="12.75" customHeight="1" x14ac:dyDescent="0.2">
      <c r="A16" s="6" t="s">
        <v>15</v>
      </c>
      <c r="B16" s="7">
        <v>16293</v>
      </c>
      <c r="C16" s="7">
        <v>58474.97</v>
      </c>
      <c r="D16" s="7">
        <f t="shared" si="0"/>
        <v>74432087.613360018</v>
      </c>
      <c r="E16" s="7">
        <v>18</v>
      </c>
      <c r="F16" s="7">
        <v>23.51</v>
      </c>
      <c r="G16" s="7">
        <f t="shared" si="1"/>
        <v>29925.596880000005</v>
      </c>
      <c r="H16" s="7">
        <v>596</v>
      </c>
      <c r="I16" s="7">
        <v>1701.09</v>
      </c>
      <c r="J16" s="7">
        <f t="shared" si="2"/>
        <v>2165297.0479199998</v>
      </c>
      <c r="K16" s="7">
        <v>494</v>
      </c>
      <c r="L16" s="7">
        <v>1288.46</v>
      </c>
      <c r="M16" s="7">
        <f t="shared" si="3"/>
        <v>1640065.2724800003</v>
      </c>
      <c r="N16" s="7">
        <f t="shared" si="4"/>
        <v>17401</v>
      </c>
      <c r="O16" s="26">
        <f t="shared" si="5"/>
        <v>78267375.530640021</v>
      </c>
    </row>
    <row r="17" spans="1:15" ht="12" customHeight="1" x14ac:dyDescent="0.2">
      <c r="A17" s="6" t="s">
        <v>16</v>
      </c>
      <c r="B17" s="7">
        <v>1546</v>
      </c>
      <c r="C17" s="7">
        <v>2715.4</v>
      </c>
      <c r="D17" s="7">
        <f t="shared" si="0"/>
        <v>3456400.0751999998</v>
      </c>
      <c r="E17" s="7">
        <v>4</v>
      </c>
      <c r="F17" s="7">
        <v>4.71</v>
      </c>
      <c r="G17" s="7">
        <f t="shared" si="1"/>
        <v>5995.3024800000003</v>
      </c>
      <c r="H17" s="7">
        <v>159</v>
      </c>
      <c r="I17" s="7">
        <v>195.52</v>
      </c>
      <c r="J17" s="7">
        <f t="shared" si="2"/>
        <v>248875.06176000004</v>
      </c>
      <c r="K17" s="7">
        <v>500</v>
      </c>
      <c r="L17" s="7">
        <v>671.32</v>
      </c>
      <c r="M17" s="7">
        <f t="shared" si="3"/>
        <v>854515.17216000019</v>
      </c>
      <c r="N17" s="7">
        <f t="shared" si="4"/>
        <v>2209</v>
      </c>
      <c r="O17" s="26">
        <f t="shared" si="5"/>
        <v>4565785.6116000004</v>
      </c>
    </row>
    <row r="18" spans="1:15" ht="13.5" customHeight="1" x14ac:dyDescent="0.2">
      <c r="A18" s="6" t="s">
        <v>17</v>
      </c>
      <c r="B18" s="7">
        <v>12729</v>
      </c>
      <c r="C18" s="7">
        <v>27412.23</v>
      </c>
      <c r="D18" s="7">
        <f t="shared" si="0"/>
        <v>34892698.620240003</v>
      </c>
      <c r="E18" s="7">
        <v>26</v>
      </c>
      <c r="F18" s="7">
        <v>31.5</v>
      </c>
      <c r="G18" s="7">
        <f t="shared" si="1"/>
        <v>40095.972000000002</v>
      </c>
      <c r="H18" s="7">
        <v>1236</v>
      </c>
      <c r="I18" s="7">
        <v>2736.32</v>
      </c>
      <c r="J18" s="7">
        <f t="shared" si="2"/>
        <v>3483028.8921600003</v>
      </c>
      <c r="K18" s="7">
        <v>2140</v>
      </c>
      <c r="L18" s="7">
        <v>2329.77</v>
      </c>
      <c r="M18" s="7">
        <f t="shared" si="3"/>
        <v>2965536.2757600001</v>
      </c>
      <c r="N18" s="7">
        <f t="shared" si="4"/>
        <v>16131</v>
      </c>
      <c r="O18" s="26">
        <f t="shared" si="5"/>
        <v>41381359.760160007</v>
      </c>
    </row>
    <row r="19" spans="1:15" ht="14.25" customHeight="1" x14ac:dyDescent="0.2">
      <c r="A19" s="6" t="s">
        <v>18</v>
      </c>
      <c r="B19" s="7">
        <v>4574</v>
      </c>
      <c r="C19" s="7">
        <v>7985.29</v>
      </c>
      <c r="D19" s="7">
        <f t="shared" si="0"/>
        <v>10164379.81752</v>
      </c>
      <c r="E19" s="7">
        <v>59</v>
      </c>
      <c r="F19" s="7">
        <v>94.56</v>
      </c>
      <c r="G19" s="7">
        <f t="shared" si="1"/>
        <v>120364.28928000001</v>
      </c>
      <c r="H19" s="7">
        <v>901</v>
      </c>
      <c r="I19" s="7">
        <v>1019.91</v>
      </c>
      <c r="J19" s="7">
        <f t="shared" si="2"/>
        <v>1298231.2000800001</v>
      </c>
      <c r="K19" s="7">
        <v>1747</v>
      </c>
      <c r="L19" s="7">
        <v>1624.99</v>
      </c>
      <c r="M19" s="7">
        <f t="shared" si="3"/>
        <v>2068430.2711200002</v>
      </c>
      <c r="N19" s="7">
        <f t="shared" si="4"/>
        <v>7281</v>
      </c>
      <c r="O19" s="26">
        <f t="shared" si="5"/>
        <v>13651405.578</v>
      </c>
    </row>
    <row r="20" spans="1:15" ht="20.25" customHeight="1" x14ac:dyDescent="0.2">
      <c r="A20" s="6" t="s">
        <v>19</v>
      </c>
      <c r="B20" s="7">
        <v>8209</v>
      </c>
      <c r="C20" s="7">
        <v>18846.2</v>
      </c>
      <c r="D20" s="7">
        <f t="shared" si="0"/>
        <v>23989101.825600002</v>
      </c>
      <c r="E20" s="7">
        <v>60</v>
      </c>
      <c r="F20" s="7">
        <v>190.69</v>
      </c>
      <c r="G20" s="7">
        <f t="shared" si="1"/>
        <v>242727.01272</v>
      </c>
      <c r="H20" s="7">
        <v>138</v>
      </c>
      <c r="I20" s="7">
        <v>245.44</v>
      </c>
      <c r="J20" s="7">
        <f t="shared" si="2"/>
        <v>312417.63072000002</v>
      </c>
      <c r="K20" s="7">
        <v>116</v>
      </c>
      <c r="L20" s="7">
        <v>196.57</v>
      </c>
      <c r="M20" s="7">
        <f t="shared" si="3"/>
        <v>250211.59416000001</v>
      </c>
      <c r="N20" s="7">
        <f t="shared" si="4"/>
        <v>8523</v>
      </c>
      <c r="O20" s="26">
        <f t="shared" si="5"/>
        <v>24794458.063200004</v>
      </c>
    </row>
    <row r="21" spans="1:15" ht="12.75" customHeight="1" x14ac:dyDescent="0.2">
      <c r="A21" s="6" t="s">
        <v>20</v>
      </c>
      <c r="B21" s="8">
        <v>7460</v>
      </c>
      <c r="C21" s="8">
        <v>13924.63</v>
      </c>
      <c r="D21" s="7">
        <f t="shared" si="0"/>
        <v>17724494.431439999</v>
      </c>
      <c r="E21" s="8">
        <v>7</v>
      </c>
      <c r="F21" s="8">
        <v>8.65</v>
      </c>
      <c r="G21" s="7">
        <f t="shared" si="1"/>
        <v>11010.4812</v>
      </c>
      <c r="H21" s="8">
        <v>580</v>
      </c>
      <c r="I21" s="8">
        <v>1266.6199999999999</v>
      </c>
      <c r="J21" s="7">
        <f t="shared" si="2"/>
        <v>1612265.3985599999</v>
      </c>
      <c r="K21" s="8">
        <v>778</v>
      </c>
      <c r="L21" s="8">
        <v>1427.01</v>
      </c>
      <c r="M21" s="7">
        <f t="shared" si="3"/>
        <v>1816423.90488</v>
      </c>
      <c r="N21" s="7">
        <f t="shared" si="4"/>
        <v>8825</v>
      </c>
      <c r="O21" s="26">
        <f t="shared" si="5"/>
        <v>21164194.216079995</v>
      </c>
    </row>
    <row r="22" spans="1:15" ht="20.25" customHeight="1" x14ac:dyDescent="0.2">
      <c r="A22" s="6" t="s">
        <v>21</v>
      </c>
      <c r="B22" s="16">
        <v>3976</v>
      </c>
      <c r="C22" s="16">
        <v>6741.83</v>
      </c>
      <c r="D22" s="7">
        <f t="shared" si="0"/>
        <v>8581594.5050399993</v>
      </c>
      <c r="E22" s="16">
        <v>5</v>
      </c>
      <c r="F22" s="16">
        <v>14.88</v>
      </c>
      <c r="G22" s="7">
        <f t="shared" si="1"/>
        <v>18940.573440000004</v>
      </c>
      <c r="H22" s="16">
        <v>1022</v>
      </c>
      <c r="I22" s="16">
        <v>1433.18</v>
      </c>
      <c r="J22" s="7">
        <f t="shared" si="2"/>
        <v>1824277.6238400002</v>
      </c>
      <c r="K22" s="16">
        <v>644</v>
      </c>
      <c r="L22" s="16">
        <v>923.27</v>
      </c>
      <c r="M22" s="7">
        <f t="shared" si="3"/>
        <v>1175219.30376</v>
      </c>
      <c r="N22" s="7">
        <f t="shared" si="4"/>
        <v>5647</v>
      </c>
      <c r="O22" s="26">
        <f t="shared" si="5"/>
        <v>11600032.00608</v>
      </c>
    </row>
    <row r="23" spans="1:15" ht="13.5" customHeight="1" x14ac:dyDescent="0.2">
      <c r="A23" s="10" t="s">
        <v>22</v>
      </c>
      <c r="B23" s="8">
        <v>2363</v>
      </c>
      <c r="C23" s="8">
        <v>3713.47</v>
      </c>
      <c r="D23" s="7">
        <f t="shared" si="0"/>
        <v>4726831.4013599996</v>
      </c>
      <c r="E23" s="8">
        <v>7</v>
      </c>
      <c r="F23" s="8">
        <v>9.4600000000000009</v>
      </c>
      <c r="G23" s="7">
        <f t="shared" si="1"/>
        <v>12041.520480000003</v>
      </c>
      <c r="H23" s="8">
        <v>718</v>
      </c>
      <c r="I23" s="8">
        <v>761.58</v>
      </c>
      <c r="J23" s="7">
        <f t="shared" si="2"/>
        <v>969406.04304000014</v>
      </c>
      <c r="K23" s="8">
        <v>813</v>
      </c>
      <c r="L23" s="8">
        <v>766.01</v>
      </c>
      <c r="M23" s="7">
        <f t="shared" si="3"/>
        <v>975044.93688000005</v>
      </c>
      <c r="N23" s="7">
        <f t="shared" si="4"/>
        <v>3901</v>
      </c>
      <c r="O23" s="26">
        <f t="shared" si="5"/>
        <v>6683323.9017599998</v>
      </c>
    </row>
    <row r="24" spans="1:15" ht="12" customHeight="1" x14ac:dyDescent="0.2">
      <c r="A24" s="10" t="s">
        <v>23</v>
      </c>
      <c r="B24" s="8">
        <v>5892</v>
      </c>
      <c r="C24" s="8">
        <v>9964.5499999999993</v>
      </c>
      <c r="D24" s="7">
        <f t="shared" si="0"/>
        <v>12683756.120399999</v>
      </c>
      <c r="E24" s="8">
        <v>22</v>
      </c>
      <c r="F24" s="8">
        <v>26.13</v>
      </c>
      <c r="G24" s="7">
        <f t="shared" si="1"/>
        <v>33260.563439999998</v>
      </c>
      <c r="H24" s="8">
        <v>587</v>
      </c>
      <c r="I24" s="8">
        <v>618.96</v>
      </c>
      <c r="J24" s="7">
        <f t="shared" si="2"/>
        <v>787866.7564800001</v>
      </c>
      <c r="K24" s="8">
        <v>853</v>
      </c>
      <c r="L24" s="8">
        <v>769.6</v>
      </c>
      <c r="M24" s="7">
        <f t="shared" si="3"/>
        <v>979614.60479999997</v>
      </c>
      <c r="N24" s="7">
        <f t="shared" si="4"/>
        <v>7354</v>
      </c>
      <c r="O24" s="26">
        <f t="shared" si="5"/>
        <v>14484498.045120001</v>
      </c>
    </row>
    <row r="25" spans="1:15" ht="44.25" customHeight="1" x14ac:dyDescent="0.2">
      <c r="A25" s="10" t="s">
        <v>24</v>
      </c>
      <c r="B25" s="16">
        <v>341</v>
      </c>
      <c r="C25" s="16">
        <v>230.54</v>
      </c>
      <c r="D25" s="7">
        <f t="shared" si="0"/>
        <v>293451.59951999999</v>
      </c>
      <c r="E25" s="16">
        <v>2</v>
      </c>
      <c r="F25" s="16">
        <v>0.79</v>
      </c>
      <c r="G25" s="7">
        <f t="shared" si="1"/>
        <v>1005.5815200000001</v>
      </c>
      <c r="H25" s="16">
        <v>23039</v>
      </c>
      <c r="I25" s="16">
        <v>10160.799999999999</v>
      </c>
      <c r="J25" s="7">
        <f t="shared" si="2"/>
        <v>12933560.3904</v>
      </c>
      <c r="K25" s="16">
        <v>406</v>
      </c>
      <c r="L25" s="16">
        <v>158.01</v>
      </c>
      <c r="M25" s="7">
        <f t="shared" si="3"/>
        <v>201129.03288000001</v>
      </c>
      <c r="N25" s="7">
        <f t="shared" si="4"/>
        <v>23788</v>
      </c>
      <c r="O25" s="26">
        <f t="shared" si="5"/>
        <v>13429146.604320001</v>
      </c>
    </row>
    <row r="26" spans="1:15" ht="13.5" customHeight="1" x14ac:dyDescent="0.2">
      <c r="A26" s="10" t="s">
        <v>25</v>
      </c>
      <c r="B26" s="8">
        <v>254</v>
      </c>
      <c r="C26" s="8">
        <v>815.24</v>
      </c>
      <c r="D26" s="7">
        <f t="shared" si="0"/>
        <v>1037709.2131200001</v>
      </c>
      <c r="E26" s="8">
        <v>21</v>
      </c>
      <c r="F26" s="8">
        <v>56.95</v>
      </c>
      <c r="G26" s="7">
        <f t="shared" si="1"/>
        <v>72490.971600000004</v>
      </c>
      <c r="H26" s="8">
        <v>61</v>
      </c>
      <c r="I26" s="8">
        <v>166.75</v>
      </c>
      <c r="J26" s="7">
        <f t="shared" si="2"/>
        <v>212254.07400000002</v>
      </c>
      <c r="K26" s="8">
        <v>41</v>
      </c>
      <c r="L26" s="8">
        <v>96.01</v>
      </c>
      <c r="M26" s="7">
        <f t="shared" si="3"/>
        <v>122209.97688000002</v>
      </c>
      <c r="N26" s="7">
        <f t="shared" si="4"/>
        <v>377</v>
      </c>
      <c r="O26" s="26">
        <f t="shared" si="5"/>
        <v>1444664.2356</v>
      </c>
    </row>
    <row r="27" spans="1:15" ht="10.5" customHeight="1" thickBot="1" x14ac:dyDescent="0.25">
      <c r="A27" s="11" t="s">
        <v>26</v>
      </c>
      <c r="B27" s="12">
        <v>70</v>
      </c>
      <c r="C27" s="12">
        <v>38.159999999999997</v>
      </c>
      <c r="D27" s="7">
        <f t="shared" si="0"/>
        <v>48573.406079999993</v>
      </c>
      <c r="E27" s="12">
        <v>0</v>
      </c>
      <c r="F27" s="12">
        <v>0</v>
      </c>
      <c r="G27" s="7">
        <f t="shared" si="1"/>
        <v>0</v>
      </c>
      <c r="H27" s="12">
        <v>117</v>
      </c>
      <c r="I27" s="12">
        <v>49.64</v>
      </c>
      <c r="J27" s="7">
        <f t="shared" si="2"/>
        <v>63186.16032000001</v>
      </c>
      <c r="K27" s="12">
        <v>90</v>
      </c>
      <c r="L27" s="12">
        <v>27.65</v>
      </c>
      <c r="M27" s="7">
        <f t="shared" si="3"/>
        <v>35195.353199999998</v>
      </c>
      <c r="N27" s="33">
        <f t="shared" si="4"/>
        <v>277</v>
      </c>
      <c r="O27" s="47">
        <f t="shared" si="5"/>
        <v>146954.91960000002</v>
      </c>
    </row>
    <row r="28" spans="1:15" ht="13.5" customHeight="1" thickBot="1" x14ac:dyDescent="0.25">
      <c r="A28" s="14" t="s">
        <v>27</v>
      </c>
      <c r="B28" s="25">
        <f>SUM(B6:B27)</f>
        <v>214320</v>
      </c>
      <c r="C28" s="46">
        <f>SUM(C6:C27)</f>
        <v>443883.36999999988</v>
      </c>
      <c r="D28" s="48">
        <f>SUM(D6:D27)</f>
        <v>565013815.07256019</v>
      </c>
      <c r="E28" s="25">
        <f t="shared" ref="E28:L28" si="6">SUM(E6:E27)</f>
        <v>3366</v>
      </c>
      <c r="F28" s="46">
        <f t="shared" si="6"/>
        <v>4766.53</v>
      </c>
      <c r="G28" s="25">
        <f t="shared" si="6"/>
        <v>6067258.8386399997</v>
      </c>
      <c r="H28" s="25">
        <f t="shared" si="6"/>
        <v>62435</v>
      </c>
      <c r="I28" s="46">
        <f t="shared" si="6"/>
        <v>54339.729999999996</v>
      </c>
      <c r="J28" s="25">
        <f t="shared" si="6"/>
        <v>69168390.240239993</v>
      </c>
      <c r="K28" s="25">
        <f t="shared" si="6"/>
        <v>52410</v>
      </c>
      <c r="L28" s="25">
        <f t="shared" si="6"/>
        <v>49011.580000000009</v>
      </c>
      <c r="M28" s="48">
        <f>SUM(M6:M27)</f>
        <v>62386252.043040007</v>
      </c>
      <c r="N28" s="25">
        <f>SUM(N6:N27)</f>
        <v>332531</v>
      </c>
      <c r="O28" s="27">
        <f>SUM(O6:O27)</f>
        <v>702635716.19448006</v>
      </c>
    </row>
    <row r="29" spans="1:15" x14ac:dyDescent="0.2">
      <c r="A29" s="91" t="s">
        <v>30</v>
      </c>
      <c r="B29" s="91"/>
      <c r="C29" s="91"/>
      <c r="D29" s="91"/>
      <c r="E29" s="91"/>
      <c r="F29" s="91"/>
      <c r="G29" s="91"/>
      <c r="H29" s="91"/>
      <c r="I29" s="91"/>
      <c r="J29" s="91"/>
      <c r="K29" s="91"/>
      <c r="L29" s="91"/>
      <c r="M29" s="91"/>
      <c r="N29" s="91"/>
      <c r="O29" s="91"/>
    </row>
    <row r="30" spans="1:15" x14ac:dyDescent="0.2">
      <c r="A30" s="92" t="s">
        <v>31</v>
      </c>
      <c r="B30" s="92"/>
      <c r="C30" s="92"/>
      <c r="D30" s="92"/>
      <c r="E30" s="92"/>
      <c r="F30" s="92"/>
      <c r="G30" s="92"/>
      <c r="H30" s="92"/>
      <c r="I30" s="92"/>
      <c r="J30" s="92"/>
      <c r="K30" s="92"/>
      <c r="L30" s="92"/>
      <c r="M30" s="92"/>
      <c r="N30" s="92"/>
      <c r="O30" s="92"/>
    </row>
    <row r="31" spans="1:15" ht="13.5" x14ac:dyDescent="0.2">
      <c r="A31" s="23" t="s">
        <v>41</v>
      </c>
    </row>
    <row r="32" spans="1:15" ht="13.5" x14ac:dyDescent="0.2">
      <c r="A32" s="23" t="s">
        <v>38</v>
      </c>
    </row>
    <row r="33" spans="1:15" x14ac:dyDescent="0.2">
      <c r="A33" s="15" t="s">
        <v>43</v>
      </c>
      <c r="K33" s="1"/>
      <c r="L33" s="1"/>
      <c r="M33" s="24" t="s">
        <v>33</v>
      </c>
      <c r="N33" s="1"/>
      <c r="O33" s="1"/>
    </row>
    <row r="34" spans="1:15" x14ac:dyDescent="0.2">
      <c r="A34" s="22">
        <v>40815</v>
      </c>
      <c r="K34" s="1"/>
      <c r="L34" s="1"/>
      <c r="M34" s="24" t="s">
        <v>34</v>
      </c>
      <c r="N34" s="1"/>
      <c r="O34" s="1"/>
    </row>
  </sheetData>
  <mergeCells count="11">
    <mergeCell ref="K4:M4"/>
    <mergeCell ref="N4:O4"/>
    <mergeCell ref="A29:O29"/>
    <mergeCell ref="A30:O30"/>
    <mergeCell ref="A1:O1"/>
    <mergeCell ref="B2:O2"/>
    <mergeCell ref="A3:A5"/>
    <mergeCell ref="B3:O3"/>
    <mergeCell ref="B4:D4"/>
    <mergeCell ref="E4:G4"/>
    <mergeCell ref="H4:J4"/>
  </mergeCells>
  <pageMargins left="0" right="0" top="0.15748031496062992" bottom="0"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workbookViewId="0">
      <selection activeCell="B3" sqref="B3:O3"/>
    </sheetView>
  </sheetViews>
  <sheetFormatPr defaultRowHeight="12.75" x14ac:dyDescent="0.2"/>
  <cols>
    <col min="1" max="1" width="41.7109375" customWidth="1"/>
    <col min="3" max="3" width="14.42578125" customWidth="1"/>
    <col min="4" max="4" width="12" customWidth="1"/>
    <col min="6" max="6" width="10" customWidth="1"/>
    <col min="7" max="7" width="11.140625" customWidth="1"/>
    <col min="9" max="9" width="10.7109375" customWidth="1"/>
    <col min="10" max="10" width="10.42578125" customWidth="1"/>
    <col min="12" max="12" width="10.140625" customWidth="1"/>
    <col min="13" max="13" width="11.7109375" customWidth="1"/>
    <col min="15" max="15" width="10.85546875" bestFit="1" customWidth="1"/>
  </cols>
  <sheetData>
    <row r="1" spans="1:15" ht="29.25" customHeight="1" thickBot="1" x14ac:dyDescent="0.25">
      <c r="A1" s="111" t="s">
        <v>62</v>
      </c>
      <c r="B1" s="111"/>
      <c r="C1" s="111"/>
      <c r="D1" s="111"/>
      <c r="E1" s="111"/>
      <c r="F1" s="111"/>
      <c r="G1" s="111"/>
      <c r="H1" s="111"/>
      <c r="I1" s="111"/>
      <c r="J1" s="111"/>
      <c r="K1" s="111"/>
      <c r="L1" s="111"/>
      <c r="M1" s="111"/>
      <c r="N1" s="111"/>
      <c r="O1" s="111"/>
    </row>
    <row r="2" spans="1:15" x14ac:dyDescent="0.2">
      <c r="A2" s="2" t="s">
        <v>4</v>
      </c>
      <c r="B2" s="120">
        <v>2016</v>
      </c>
      <c r="C2" s="121"/>
      <c r="D2" s="121"/>
      <c r="E2" s="121"/>
      <c r="F2" s="121"/>
      <c r="G2" s="121"/>
      <c r="H2" s="121"/>
      <c r="I2" s="121"/>
      <c r="J2" s="121"/>
      <c r="K2" s="121"/>
      <c r="L2" s="121"/>
      <c r="M2" s="121"/>
      <c r="N2" s="121"/>
      <c r="O2" s="122"/>
    </row>
    <row r="3" spans="1:15" ht="12" customHeight="1" x14ac:dyDescent="0.2">
      <c r="A3" s="123" t="s">
        <v>40</v>
      </c>
      <c r="B3" s="100" t="s">
        <v>1</v>
      </c>
      <c r="C3" s="101"/>
      <c r="D3" s="101"/>
      <c r="E3" s="101"/>
      <c r="F3" s="101"/>
      <c r="G3" s="101"/>
      <c r="H3" s="101"/>
      <c r="I3" s="101"/>
      <c r="J3" s="101"/>
      <c r="K3" s="101"/>
      <c r="L3" s="101"/>
      <c r="M3" s="101"/>
      <c r="N3" s="101"/>
      <c r="O3" s="102"/>
    </row>
    <row r="4" spans="1:15" ht="12" customHeight="1" x14ac:dyDescent="0.2">
      <c r="A4" s="124"/>
      <c r="B4" s="125" t="s">
        <v>0</v>
      </c>
      <c r="C4" s="125"/>
      <c r="D4" s="126"/>
      <c r="E4" s="126" t="s">
        <v>3</v>
      </c>
      <c r="F4" s="126"/>
      <c r="G4" s="126"/>
      <c r="H4" s="126" t="s">
        <v>28</v>
      </c>
      <c r="I4" s="126"/>
      <c r="J4" s="126"/>
      <c r="K4" s="126" t="s">
        <v>29</v>
      </c>
      <c r="L4" s="126"/>
      <c r="M4" s="126"/>
      <c r="N4" s="126" t="s">
        <v>39</v>
      </c>
      <c r="O4" s="127"/>
    </row>
    <row r="5" spans="1:15" ht="34.5" customHeight="1" x14ac:dyDescent="0.2">
      <c r="A5" s="124"/>
      <c r="B5" s="3" t="s">
        <v>2</v>
      </c>
      <c r="C5" s="3" t="s">
        <v>44</v>
      </c>
      <c r="D5" s="4" t="s">
        <v>32</v>
      </c>
      <c r="E5" s="4" t="s">
        <v>2</v>
      </c>
      <c r="F5" s="3" t="s">
        <v>44</v>
      </c>
      <c r="G5" s="4" t="s">
        <v>32</v>
      </c>
      <c r="H5" s="4" t="s">
        <v>2</v>
      </c>
      <c r="I5" s="3" t="s">
        <v>44</v>
      </c>
      <c r="J5" s="4" t="s">
        <v>32</v>
      </c>
      <c r="K5" s="4" t="s">
        <v>2</v>
      </c>
      <c r="L5" s="3" t="s">
        <v>44</v>
      </c>
      <c r="M5" s="4" t="s">
        <v>32</v>
      </c>
      <c r="N5" s="4" t="s">
        <v>2</v>
      </c>
      <c r="O5" s="5" t="s">
        <v>32</v>
      </c>
    </row>
    <row r="6" spans="1:15" ht="12" customHeight="1" x14ac:dyDescent="0.2">
      <c r="A6" s="6" t="s">
        <v>5</v>
      </c>
      <c r="B6" s="7">
        <f>2230+31+2</f>
        <v>2263</v>
      </c>
      <c r="C6" s="7">
        <f>3365.29+18.1+2.7</f>
        <v>3386.0899999999997</v>
      </c>
      <c r="D6" s="7">
        <f>C6*9068*0.202</f>
        <v>6202422.9522399995</v>
      </c>
      <c r="E6" s="7">
        <v>4</v>
      </c>
      <c r="F6" s="50">
        <v>5.14</v>
      </c>
      <c r="G6" s="7">
        <f>F6*9068*0.202</f>
        <v>9415.1230400000004</v>
      </c>
      <c r="H6" s="7">
        <v>5006</v>
      </c>
      <c r="I6" s="50">
        <v>2301.4</v>
      </c>
      <c r="J6" s="7">
        <f>I6*9068*0.202</f>
        <v>4215557.2303999998</v>
      </c>
      <c r="K6" s="7">
        <v>1283</v>
      </c>
      <c r="L6" s="50">
        <v>927.13</v>
      </c>
      <c r="M6" s="7">
        <f>L6*9068*0.202</f>
        <v>1698257.3976800002</v>
      </c>
      <c r="N6" s="7">
        <f>B6+E6+H6+K6</f>
        <v>8556</v>
      </c>
      <c r="O6" s="26">
        <f>D6+G6+J6+M6</f>
        <v>12125652.703359999</v>
      </c>
    </row>
    <row r="7" spans="1:15" ht="12" customHeight="1" x14ac:dyDescent="0.2">
      <c r="A7" s="6" t="s">
        <v>6</v>
      </c>
      <c r="B7" s="7">
        <f>550+2+3</f>
        <v>555</v>
      </c>
      <c r="C7" s="7">
        <f>1364.05+3.6+9.74</f>
        <v>1377.3899999999999</v>
      </c>
      <c r="D7" s="7">
        <f t="shared" ref="D7:D28" si="0">C7*9068*0.202</f>
        <v>2523014.8490400002</v>
      </c>
      <c r="E7" s="7">
        <v>7</v>
      </c>
      <c r="F7" s="50">
        <v>7.84</v>
      </c>
      <c r="G7" s="7">
        <f t="shared" ref="G7:G28" si="1">F7*9068*0.202</f>
        <v>14360.810240000001</v>
      </c>
      <c r="H7" s="7">
        <v>37</v>
      </c>
      <c r="I7" s="50">
        <v>83.97</v>
      </c>
      <c r="J7" s="7">
        <f t="shared" ref="J7:J28" si="2">I7*9068*0.202</f>
        <v>153810.87192000001</v>
      </c>
      <c r="K7" s="7">
        <v>103</v>
      </c>
      <c r="L7" s="50">
        <v>228.67</v>
      </c>
      <c r="M7" s="7">
        <f t="shared" ref="M7:M28" si="3">L7*9068*0.202</f>
        <v>418863.07111999998</v>
      </c>
      <c r="N7" s="7">
        <f>B7+E7+H7+K7</f>
        <v>702</v>
      </c>
      <c r="O7" s="26">
        <f>D7+G7+J7+M7</f>
        <v>3110049.6023200001</v>
      </c>
    </row>
    <row r="8" spans="1:15" ht="12" customHeight="1" x14ac:dyDescent="0.2">
      <c r="A8" s="6" t="s">
        <v>7</v>
      </c>
      <c r="B8" s="7">
        <f>21058+79+10+54</f>
        <v>21201</v>
      </c>
      <c r="C8" s="7">
        <f>36347.18+133.63+19.43+112.14</f>
        <v>36612.379999999997</v>
      </c>
      <c r="D8" s="7">
        <f t="shared" si="0"/>
        <v>67064214.491679996</v>
      </c>
      <c r="E8" s="7">
        <v>79</v>
      </c>
      <c r="F8" s="50">
        <v>97.25</v>
      </c>
      <c r="G8" s="7">
        <f t="shared" si="1"/>
        <v>178136.326</v>
      </c>
      <c r="H8" s="7">
        <v>1429</v>
      </c>
      <c r="I8" s="50">
        <v>1531.7</v>
      </c>
      <c r="J8" s="7">
        <f t="shared" si="2"/>
        <v>2805670.0312000001</v>
      </c>
      <c r="K8" s="7">
        <v>8591</v>
      </c>
      <c r="L8" s="50">
        <v>10067.799999999999</v>
      </c>
      <c r="M8" s="7">
        <f t="shared" si="3"/>
        <v>18441551.700799998</v>
      </c>
      <c r="N8" s="7">
        <f t="shared" ref="N8:N27" si="4">B8+E8+H8+K8</f>
        <v>31300</v>
      </c>
      <c r="O8" s="26">
        <f t="shared" ref="O8:O27" si="5">D8+G8+J8+M8</f>
        <v>88489572.549680009</v>
      </c>
    </row>
    <row r="9" spans="1:15" ht="21.75" customHeight="1" x14ac:dyDescent="0.2">
      <c r="A9" s="6" t="s">
        <v>8</v>
      </c>
      <c r="B9" s="7">
        <f>2143+7+4</f>
        <v>2154</v>
      </c>
      <c r="C9" s="7">
        <f>6873.78+16.08+17.75</f>
        <v>6907.61</v>
      </c>
      <c r="D9" s="7">
        <f t="shared" si="0"/>
        <v>12652917.91096</v>
      </c>
      <c r="E9" s="7">
        <v>0</v>
      </c>
      <c r="F9" s="50">
        <v>0</v>
      </c>
      <c r="G9" s="7">
        <f t="shared" si="1"/>
        <v>0</v>
      </c>
      <c r="H9" s="7">
        <v>10</v>
      </c>
      <c r="I9" s="50">
        <v>15.83</v>
      </c>
      <c r="J9" s="7">
        <f t="shared" si="2"/>
        <v>28996.380880000001</v>
      </c>
      <c r="K9" s="7">
        <v>159</v>
      </c>
      <c r="L9" s="50">
        <v>163.79</v>
      </c>
      <c r="M9" s="7">
        <f t="shared" si="3"/>
        <v>300020.03944000002</v>
      </c>
      <c r="N9" s="7">
        <f t="shared" si="4"/>
        <v>2323</v>
      </c>
      <c r="O9" s="26">
        <f t="shared" si="5"/>
        <v>12981934.331280001</v>
      </c>
    </row>
    <row r="10" spans="1:15" ht="22.5" customHeight="1" x14ac:dyDescent="0.2">
      <c r="A10" s="6" t="s">
        <v>9</v>
      </c>
      <c r="B10" s="7">
        <f>1279+2+3</f>
        <v>1284</v>
      </c>
      <c r="C10" s="7">
        <f>2646.09+0.63+3.54</f>
        <v>2650.26</v>
      </c>
      <c r="D10" s="7">
        <f t="shared" si="0"/>
        <v>4854576.6513600014</v>
      </c>
      <c r="E10" s="7">
        <v>3</v>
      </c>
      <c r="F10" s="50">
        <v>1.42</v>
      </c>
      <c r="G10" s="7">
        <f t="shared" si="1"/>
        <v>2601.0651200000002</v>
      </c>
      <c r="H10" s="7">
        <v>74</v>
      </c>
      <c r="I10" s="50">
        <v>75.989999999999995</v>
      </c>
      <c r="J10" s="7">
        <f t="shared" si="2"/>
        <v>139193.61864</v>
      </c>
      <c r="K10" s="7">
        <v>429</v>
      </c>
      <c r="L10" s="50">
        <v>480.03</v>
      </c>
      <c r="M10" s="7">
        <f t="shared" si="3"/>
        <v>879288.2320800001</v>
      </c>
      <c r="N10" s="7">
        <f t="shared" si="4"/>
        <v>1790</v>
      </c>
      <c r="O10" s="26">
        <f t="shared" si="5"/>
        <v>5875659.5672000023</v>
      </c>
    </row>
    <row r="11" spans="1:15" ht="12" customHeight="1" x14ac:dyDescent="0.2">
      <c r="A11" s="6" t="s">
        <v>10</v>
      </c>
      <c r="B11" s="7">
        <f>15168+51+2+58</f>
        <v>15279</v>
      </c>
      <c r="C11" s="7">
        <f>25168.71+76.1+2.1+122.14</f>
        <v>25369.049999999996</v>
      </c>
      <c r="D11" s="7">
        <f t="shared" si="0"/>
        <v>46469402.170799993</v>
      </c>
      <c r="E11" s="7">
        <v>185</v>
      </c>
      <c r="F11" s="50">
        <v>342.66</v>
      </c>
      <c r="G11" s="7">
        <f t="shared" si="1"/>
        <v>627662.65776000009</v>
      </c>
      <c r="H11" s="7">
        <v>1606</v>
      </c>
      <c r="I11" s="50">
        <v>1304.42</v>
      </c>
      <c r="J11" s="7">
        <f t="shared" si="2"/>
        <v>2389353.0731200003</v>
      </c>
      <c r="K11" s="7">
        <v>6988</v>
      </c>
      <c r="L11" s="50">
        <v>6524.48</v>
      </c>
      <c r="M11" s="7">
        <f t="shared" si="3"/>
        <v>11951124.89728</v>
      </c>
      <c r="N11" s="7">
        <f t="shared" si="4"/>
        <v>24058</v>
      </c>
      <c r="O11" s="26">
        <f t="shared" si="5"/>
        <v>61437542.798959993</v>
      </c>
    </row>
    <row r="12" spans="1:15" ht="21" customHeight="1" x14ac:dyDescent="0.2">
      <c r="A12" s="6" t="s">
        <v>11</v>
      </c>
      <c r="B12" s="7">
        <f>50938+218+15+120</f>
        <v>51291</v>
      </c>
      <c r="C12" s="7">
        <f>77101.72+370.41+31.16+258.67</f>
        <v>77761.960000000006</v>
      </c>
      <c r="D12" s="7">
        <f t="shared" si="0"/>
        <v>142439381.56256002</v>
      </c>
      <c r="E12" s="7">
        <v>109</v>
      </c>
      <c r="F12" s="50">
        <v>147.21</v>
      </c>
      <c r="G12" s="7">
        <f t="shared" si="1"/>
        <v>269649.85656000004</v>
      </c>
      <c r="H12" s="7">
        <v>3338</v>
      </c>
      <c r="I12" s="50">
        <v>4278.0200000000004</v>
      </c>
      <c r="J12" s="7">
        <f t="shared" si="2"/>
        <v>7836203.2427200023</v>
      </c>
      <c r="K12" s="7">
        <v>12419</v>
      </c>
      <c r="L12" s="50">
        <v>13936.99</v>
      </c>
      <c r="M12" s="7">
        <f t="shared" si="3"/>
        <v>25528886.31464</v>
      </c>
      <c r="N12" s="7">
        <f t="shared" si="4"/>
        <v>67157</v>
      </c>
      <c r="O12" s="26">
        <f t="shared" si="5"/>
        <v>176074120.97648001</v>
      </c>
    </row>
    <row r="13" spans="1:15" ht="12" customHeight="1" x14ac:dyDescent="0.2">
      <c r="A13" s="6" t="s">
        <v>12</v>
      </c>
      <c r="B13" s="7">
        <f>10684+90+4+33</f>
        <v>10811</v>
      </c>
      <c r="C13" s="7">
        <f>22724.69+112.72+5.85+101.39</f>
        <v>22944.649999999998</v>
      </c>
      <c r="D13" s="7">
        <f t="shared" si="0"/>
        <v>42028541.4124</v>
      </c>
      <c r="E13" s="7">
        <v>19</v>
      </c>
      <c r="F13" s="50">
        <v>18.27</v>
      </c>
      <c r="G13" s="7">
        <f t="shared" si="1"/>
        <v>33465.816720000003</v>
      </c>
      <c r="H13" s="7">
        <v>1248</v>
      </c>
      <c r="I13" s="50">
        <v>2788.49</v>
      </c>
      <c r="J13" s="7">
        <f t="shared" si="2"/>
        <v>5107777.5186399994</v>
      </c>
      <c r="K13" s="7">
        <v>6894</v>
      </c>
      <c r="L13" s="50">
        <v>8501.9500000000007</v>
      </c>
      <c r="M13" s="7">
        <f t="shared" si="3"/>
        <v>15573327.885200003</v>
      </c>
      <c r="N13" s="7">
        <f t="shared" si="4"/>
        <v>18972</v>
      </c>
      <c r="O13" s="26">
        <f t="shared" si="5"/>
        <v>62743112.632959999</v>
      </c>
    </row>
    <row r="14" spans="1:15" ht="20.25" customHeight="1" x14ac:dyDescent="0.2">
      <c r="A14" s="6" t="s">
        <v>13</v>
      </c>
      <c r="B14" s="7">
        <f>29629+109+13+36</f>
        <v>29787</v>
      </c>
      <c r="C14" s="7">
        <f>33589.88+102.64+7.41+61.64</f>
        <v>33761.57</v>
      </c>
      <c r="D14" s="7">
        <f t="shared" si="0"/>
        <v>61842283.185520001</v>
      </c>
      <c r="E14" s="7">
        <v>128</v>
      </c>
      <c r="F14" s="50">
        <v>222.7</v>
      </c>
      <c r="G14" s="7">
        <f t="shared" si="1"/>
        <v>407927.60719999997</v>
      </c>
      <c r="H14" s="7">
        <v>3993</v>
      </c>
      <c r="I14" s="50">
        <v>3285.32</v>
      </c>
      <c r="J14" s="7">
        <f t="shared" si="2"/>
        <v>6017838.9155200003</v>
      </c>
      <c r="K14" s="7">
        <v>24594</v>
      </c>
      <c r="L14" s="50">
        <v>17589.3</v>
      </c>
      <c r="M14" s="7">
        <f t="shared" si="3"/>
        <v>32218954.024800003</v>
      </c>
      <c r="N14" s="7">
        <f t="shared" si="4"/>
        <v>58502</v>
      </c>
      <c r="O14" s="26">
        <f t="shared" si="5"/>
        <v>100487003.73304</v>
      </c>
    </row>
    <row r="15" spans="1:15" ht="12" customHeight="1" x14ac:dyDescent="0.2">
      <c r="A15" s="6" t="s">
        <v>14</v>
      </c>
      <c r="B15" s="7">
        <f>8968+39+5+37</f>
        <v>9049</v>
      </c>
      <c r="C15" s="7">
        <f>22860.1+102.99+14.64+122.66</f>
        <v>23100.39</v>
      </c>
      <c r="D15" s="7">
        <f t="shared" si="0"/>
        <v>42313815.97704</v>
      </c>
      <c r="E15" s="7">
        <v>36</v>
      </c>
      <c r="F15" s="50">
        <v>109.62</v>
      </c>
      <c r="G15" s="7">
        <f t="shared" si="1"/>
        <v>200794.90032000002</v>
      </c>
      <c r="H15" s="7">
        <v>938</v>
      </c>
      <c r="I15" s="50">
        <v>2886.79</v>
      </c>
      <c r="J15" s="7">
        <f t="shared" si="2"/>
        <v>5287837.16744</v>
      </c>
      <c r="K15" s="7">
        <v>1461</v>
      </c>
      <c r="L15" s="50">
        <v>3132.91</v>
      </c>
      <c r="M15" s="7">
        <f t="shared" si="3"/>
        <v>5738664.0317599997</v>
      </c>
      <c r="N15" s="7">
        <f t="shared" si="4"/>
        <v>11484</v>
      </c>
      <c r="O15" s="26">
        <f t="shared" si="5"/>
        <v>53541112.076559998</v>
      </c>
    </row>
    <row r="16" spans="1:15" ht="12" customHeight="1" x14ac:dyDescent="0.2">
      <c r="A16" s="6" t="s">
        <v>15</v>
      </c>
      <c r="B16" s="7">
        <f>17477+70+7+62</f>
        <v>17616</v>
      </c>
      <c r="C16" s="7">
        <f>57042.9+231.8+28.44+239.57</f>
        <v>57542.710000000006</v>
      </c>
      <c r="D16" s="7">
        <f t="shared" si="0"/>
        <v>105403053.44456001</v>
      </c>
      <c r="E16" s="7">
        <v>12</v>
      </c>
      <c r="F16" s="50">
        <v>25.86</v>
      </c>
      <c r="G16" s="7">
        <f t="shared" si="1"/>
        <v>47368.69296</v>
      </c>
      <c r="H16" s="7">
        <v>1703</v>
      </c>
      <c r="I16" s="50">
        <v>5578.18</v>
      </c>
      <c r="J16" s="7">
        <f t="shared" si="2"/>
        <v>10217753.120480001</v>
      </c>
      <c r="K16" s="7">
        <v>1943</v>
      </c>
      <c r="L16" s="50">
        <v>4199.87</v>
      </c>
      <c r="M16" s="7">
        <f t="shared" si="3"/>
        <v>7693053.0743199997</v>
      </c>
      <c r="N16" s="7">
        <f t="shared" si="4"/>
        <v>21274</v>
      </c>
      <c r="O16" s="26">
        <f t="shared" si="5"/>
        <v>123361228.33232</v>
      </c>
    </row>
    <row r="17" spans="1:15" ht="12" customHeight="1" x14ac:dyDescent="0.2">
      <c r="A17" s="6" t="s">
        <v>16</v>
      </c>
      <c r="B17" s="7">
        <f>2021+5+1+8</f>
        <v>2035</v>
      </c>
      <c r="C17" s="7">
        <f>2867.46+9.93+2.57+17.42</f>
        <v>2897.38</v>
      </c>
      <c r="D17" s="7">
        <f t="shared" si="0"/>
        <v>5307235.2516800007</v>
      </c>
      <c r="E17" s="7">
        <v>1</v>
      </c>
      <c r="F17" s="50">
        <v>2.87</v>
      </c>
      <c r="G17" s="7">
        <f t="shared" si="1"/>
        <v>5257.0823200000004</v>
      </c>
      <c r="H17" s="7">
        <v>172</v>
      </c>
      <c r="I17" s="50">
        <v>223.37</v>
      </c>
      <c r="J17" s="7">
        <f t="shared" si="2"/>
        <v>409154.87032000005</v>
      </c>
      <c r="K17" s="7">
        <v>627</v>
      </c>
      <c r="L17" s="50">
        <v>749.16</v>
      </c>
      <c r="M17" s="7">
        <f t="shared" si="3"/>
        <v>1372263.34176</v>
      </c>
      <c r="N17" s="7">
        <f t="shared" si="4"/>
        <v>2835</v>
      </c>
      <c r="O17" s="26">
        <f t="shared" si="5"/>
        <v>7093910.5460800007</v>
      </c>
    </row>
    <row r="18" spans="1:15" ht="12" customHeight="1" x14ac:dyDescent="0.2">
      <c r="A18" s="6" t="s">
        <v>17</v>
      </c>
      <c r="B18" s="7">
        <f>20197+104+7+80</f>
        <v>20388</v>
      </c>
      <c r="C18" s="7">
        <f>44692.49+266.25+15.64+249.98</f>
        <v>45224.36</v>
      </c>
      <c r="D18" s="7">
        <f t="shared" si="0"/>
        <v>82839088.28896001</v>
      </c>
      <c r="E18" s="7">
        <v>32</v>
      </c>
      <c r="F18" s="50">
        <v>63.75</v>
      </c>
      <c r="G18" s="7">
        <f t="shared" si="1"/>
        <v>116773.17000000001</v>
      </c>
      <c r="H18" s="7">
        <v>1626</v>
      </c>
      <c r="I18" s="50">
        <v>4477.9799999999996</v>
      </c>
      <c r="J18" s="7">
        <f t="shared" si="2"/>
        <v>8202477.1732799988</v>
      </c>
      <c r="K18" s="7">
        <v>3178</v>
      </c>
      <c r="L18" s="50">
        <v>5860.8</v>
      </c>
      <c r="M18" s="7">
        <f t="shared" si="3"/>
        <v>10735438.3488</v>
      </c>
      <c r="N18" s="7">
        <f t="shared" si="4"/>
        <v>25224</v>
      </c>
      <c r="O18" s="26">
        <f t="shared" si="5"/>
        <v>101893776.98104002</v>
      </c>
    </row>
    <row r="19" spans="1:15" ht="12" customHeight="1" x14ac:dyDescent="0.2">
      <c r="A19" s="6" t="s">
        <v>18</v>
      </c>
      <c r="B19" s="7">
        <f>5884+48+7+18</f>
        <v>5957</v>
      </c>
      <c r="C19" s="7">
        <f>8957.35+79.42+19.76+30.32</f>
        <v>9086.85</v>
      </c>
      <c r="D19" s="7">
        <f t="shared" si="0"/>
        <v>16644710.271600001</v>
      </c>
      <c r="E19" s="7">
        <v>14</v>
      </c>
      <c r="F19" s="50">
        <v>27.33</v>
      </c>
      <c r="G19" s="7">
        <f t="shared" si="1"/>
        <v>50061.344879999997</v>
      </c>
      <c r="H19" s="7">
        <v>718</v>
      </c>
      <c r="I19" s="50">
        <v>1028.3399999999999</v>
      </c>
      <c r="J19" s="7">
        <f t="shared" si="2"/>
        <v>1883647.39824</v>
      </c>
      <c r="K19" s="7">
        <v>3469</v>
      </c>
      <c r="L19" s="50">
        <v>3886.81</v>
      </c>
      <c r="M19" s="7">
        <f t="shared" si="3"/>
        <v>7119609.8021600004</v>
      </c>
      <c r="N19" s="7">
        <f t="shared" si="4"/>
        <v>10158</v>
      </c>
      <c r="O19" s="26">
        <f t="shared" si="5"/>
        <v>25698028.816880003</v>
      </c>
    </row>
    <row r="20" spans="1:15" ht="21.75" customHeight="1" x14ac:dyDescent="0.2">
      <c r="A20" s="6" t="s">
        <v>19</v>
      </c>
      <c r="B20" s="7">
        <f>10318+8+2+26</f>
        <v>10354</v>
      </c>
      <c r="C20" s="7">
        <f>19644.87+10.3+5.19+58.1</f>
        <v>19718.459999999995</v>
      </c>
      <c r="D20" s="7">
        <f t="shared" si="0"/>
        <v>36119013.046559997</v>
      </c>
      <c r="E20" s="7">
        <v>59</v>
      </c>
      <c r="F20" s="50">
        <v>163.25</v>
      </c>
      <c r="G20" s="7">
        <f t="shared" si="1"/>
        <v>299030.902</v>
      </c>
      <c r="H20" s="7">
        <v>34</v>
      </c>
      <c r="I20" s="50">
        <v>76.819999999999993</v>
      </c>
      <c r="J20" s="7">
        <f t="shared" si="2"/>
        <v>140713.95951999997</v>
      </c>
      <c r="K20" s="7">
        <v>142</v>
      </c>
      <c r="L20" s="50">
        <v>271.19</v>
      </c>
      <c r="M20" s="7">
        <f t="shared" si="3"/>
        <v>496748.48584000004</v>
      </c>
      <c r="N20" s="7">
        <f t="shared" si="4"/>
        <v>10589</v>
      </c>
      <c r="O20" s="26">
        <f t="shared" si="5"/>
        <v>37055506.393919997</v>
      </c>
    </row>
    <row r="21" spans="1:15" ht="12" customHeight="1" x14ac:dyDescent="0.2">
      <c r="A21" s="6" t="s">
        <v>20</v>
      </c>
      <c r="B21" s="8">
        <f>11339+43+6+23</f>
        <v>11411</v>
      </c>
      <c r="C21" s="8">
        <f>20482.44+111.39+21.5+69.74</f>
        <v>20685.07</v>
      </c>
      <c r="D21" s="7">
        <f t="shared" si="0"/>
        <v>37889587.381520003</v>
      </c>
      <c r="E21" s="8">
        <v>13</v>
      </c>
      <c r="F21" s="51">
        <v>23.11</v>
      </c>
      <c r="G21" s="7">
        <f t="shared" si="1"/>
        <v>42331.418959999995</v>
      </c>
      <c r="H21" s="8">
        <v>330</v>
      </c>
      <c r="I21" s="51">
        <v>630.77</v>
      </c>
      <c r="J21" s="7">
        <f t="shared" si="2"/>
        <v>1155404.11672</v>
      </c>
      <c r="K21" s="8">
        <v>1537</v>
      </c>
      <c r="L21" s="51">
        <v>2875.32</v>
      </c>
      <c r="M21" s="7">
        <f t="shared" si="3"/>
        <v>5266827.1555200005</v>
      </c>
      <c r="N21" s="7">
        <f t="shared" si="4"/>
        <v>13291</v>
      </c>
      <c r="O21" s="26">
        <f t="shared" si="5"/>
        <v>44354150.072719999</v>
      </c>
    </row>
    <row r="22" spans="1:15" ht="20.25" customHeight="1" x14ac:dyDescent="0.2">
      <c r="A22" s="6" t="s">
        <v>21</v>
      </c>
      <c r="B22" s="16">
        <f>6331+21+2+17</f>
        <v>6371</v>
      </c>
      <c r="C22" s="16">
        <f>10585.47+34.93+5.93+23.06</f>
        <v>10649.39</v>
      </c>
      <c r="D22" s="7">
        <f t="shared" si="0"/>
        <v>19506871.04104</v>
      </c>
      <c r="E22" s="16">
        <v>4</v>
      </c>
      <c r="F22" s="50">
        <v>7.63</v>
      </c>
      <c r="G22" s="7">
        <f t="shared" si="1"/>
        <v>13976.14568</v>
      </c>
      <c r="H22" s="16">
        <v>304</v>
      </c>
      <c r="I22" s="50">
        <v>401.58</v>
      </c>
      <c r="J22" s="7">
        <f t="shared" si="2"/>
        <v>735588.54288000008</v>
      </c>
      <c r="K22" s="16">
        <v>1322</v>
      </c>
      <c r="L22" s="50">
        <v>1899.34</v>
      </c>
      <c r="M22" s="7">
        <f t="shared" si="3"/>
        <v>3479089.4542400003</v>
      </c>
      <c r="N22" s="7">
        <f t="shared" si="4"/>
        <v>8001</v>
      </c>
      <c r="O22" s="26">
        <f t="shared" si="5"/>
        <v>23735525.183839999</v>
      </c>
    </row>
    <row r="23" spans="1:15" ht="12" customHeight="1" x14ac:dyDescent="0.2">
      <c r="A23" s="10" t="s">
        <v>22</v>
      </c>
      <c r="B23" s="8">
        <f>3936+20+3+10</f>
        <v>3969</v>
      </c>
      <c r="C23" s="8">
        <f>4726.22+35.27+6.12+33.42</f>
        <v>4801.0300000000007</v>
      </c>
      <c r="D23" s="7">
        <f t="shared" si="0"/>
        <v>8794219.4880800024</v>
      </c>
      <c r="E23" s="8">
        <v>2</v>
      </c>
      <c r="F23" s="51">
        <v>2.4700000000000002</v>
      </c>
      <c r="G23" s="7">
        <f t="shared" si="1"/>
        <v>4524.387920000001</v>
      </c>
      <c r="H23" s="8">
        <v>507</v>
      </c>
      <c r="I23" s="51">
        <v>455.1</v>
      </c>
      <c r="J23" s="7">
        <f t="shared" si="2"/>
        <v>833623.0536000001</v>
      </c>
      <c r="K23" s="8">
        <v>1578</v>
      </c>
      <c r="L23" s="51">
        <v>1490.87</v>
      </c>
      <c r="M23" s="7">
        <f t="shared" si="3"/>
        <v>2730880.2503199996</v>
      </c>
      <c r="N23" s="7">
        <f t="shared" si="4"/>
        <v>6056</v>
      </c>
      <c r="O23" s="26">
        <f t="shared" si="5"/>
        <v>12363247.179920003</v>
      </c>
    </row>
    <row r="24" spans="1:15" ht="16.5" customHeight="1" x14ac:dyDescent="0.2">
      <c r="A24" s="10" t="s">
        <v>23</v>
      </c>
      <c r="B24" s="8">
        <f>6863+25+2+21</f>
        <v>6911</v>
      </c>
      <c r="C24" s="8">
        <f>10751.08+35.79+3.31+35.39</f>
        <v>10825.57</v>
      </c>
      <c r="D24" s="7">
        <f t="shared" si="0"/>
        <v>19829586.289519999</v>
      </c>
      <c r="E24" s="8">
        <v>10</v>
      </c>
      <c r="F24" s="51">
        <v>10.95</v>
      </c>
      <c r="G24" s="7">
        <f t="shared" si="1"/>
        <v>20057.5092</v>
      </c>
      <c r="H24" s="8">
        <v>459</v>
      </c>
      <c r="I24" s="51">
        <v>484.15</v>
      </c>
      <c r="J24" s="7">
        <f t="shared" si="2"/>
        <v>886834.98440000007</v>
      </c>
      <c r="K24" s="8">
        <v>1585</v>
      </c>
      <c r="L24" s="51">
        <v>1502.42</v>
      </c>
      <c r="M24" s="7">
        <f t="shared" si="3"/>
        <v>2752036.8011200004</v>
      </c>
      <c r="N24" s="7">
        <f t="shared" si="4"/>
        <v>8965</v>
      </c>
      <c r="O24" s="26">
        <f t="shared" si="5"/>
        <v>23488515.584240001</v>
      </c>
    </row>
    <row r="25" spans="1:15" ht="44.25" customHeight="1" x14ac:dyDescent="0.2">
      <c r="A25" s="10" t="s">
        <v>24</v>
      </c>
      <c r="B25" s="16">
        <f>202+113+1</f>
        <v>316</v>
      </c>
      <c r="C25" s="16">
        <f>161.88+45.04+0.74</f>
        <v>207.66</v>
      </c>
      <c r="D25" s="7">
        <f t="shared" si="0"/>
        <v>380378.29775999999</v>
      </c>
      <c r="E25" s="16">
        <v>3</v>
      </c>
      <c r="F25" s="50">
        <v>1.68</v>
      </c>
      <c r="G25" s="7">
        <f t="shared" si="1"/>
        <v>3077.31648</v>
      </c>
      <c r="H25" s="16">
        <v>23825</v>
      </c>
      <c r="I25" s="50">
        <v>11984.77</v>
      </c>
      <c r="J25" s="7">
        <f t="shared" si="2"/>
        <v>21952934.660720002</v>
      </c>
      <c r="K25" s="16">
        <v>398</v>
      </c>
      <c r="L25" s="50">
        <v>201.96</v>
      </c>
      <c r="M25" s="7">
        <f t="shared" si="3"/>
        <v>369937.40256000002</v>
      </c>
      <c r="N25" s="7">
        <f t="shared" si="4"/>
        <v>24542</v>
      </c>
      <c r="O25" s="26">
        <f t="shared" si="5"/>
        <v>22706327.677519999</v>
      </c>
    </row>
    <row r="26" spans="1:15" ht="12" customHeight="1" x14ac:dyDescent="0.2">
      <c r="A26" s="10" t="s">
        <v>25</v>
      </c>
      <c r="B26" s="8">
        <f>299+5+3</f>
        <v>307</v>
      </c>
      <c r="C26" s="8">
        <f>897.2+13.92+4.73</f>
        <v>915.85</v>
      </c>
      <c r="D26" s="7">
        <f t="shared" si="0"/>
        <v>1677595.4156000002</v>
      </c>
      <c r="E26" s="8">
        <v>40</v>
      </c>
      <c r="F26" s="51">
        <v>116.78</v>
      </c>
      <c r="G26" s="7">
        <f t="shared" si="1"/>
        <v>213910.13008000003</v>
      </c>
      <c r="H26" s="8">
        <v>84</v>
      </c>
      <c r="I26" s="51">
        <v>204.51</v>
      </c>
      <c r="J26" s="7">
        <f t="shared" si="2"/>
        <v>374608.32936000003</v>
      </c>
      <c r="K26" s="8">
        <v>78</v>
      </c>
      <c r="L26" s="51">
        <v>206.91</v>
      </c>
      <c r="M26" s="7">
        <f t="shared" si="3"/>
        <v>379004.49576000002</v>
      </c>
      <c r="N26" s="7">
        <f t="shared" si="4"/>
        <v>509</v>
      </c>
      <c r="O26" s="26">
        <f t="shared" si="5"/>
        <v>2645118.3708000001</v>
      </c>
    </row>
    <row r="27" spans="1:15" ht="12" customHeight="1" thickBot="1" x14ac:dyDescent="0.25">
      <c r="A27" s="11" t="s">
        <v>26</v>
      </c>
      <c r="B27" s="12">
        <f>32+2</f>
        <v>34</v>
      </c>
      <c r="C27" s="12">
        <f>19.58+0.46</f>
        <v>20.04</v>
      </c>
      <c r="D27" s="33">
        <f t="shared" si="0"/>
        <v>36707.989440000005</v>
      </c>
      <c r="E27" s="12">
        <v>0</v>
      </c>
      <c r="F27" s="52">
        <v>0</v>
      </c>
      <c r="G27" s="33">
        <f t="shared" si="1"/>
        <v>0</v>
      </c>
      <c r="H27" s="12">
        <v>251</v>
      </c>
      <c r="I27" s="52">
        <v>65.48</v>
      </c>
      <c r="J27" s="33">
        <f t="shared" si="2"/>
        <v>119942.07328000001</v>
      </c>
      <c r="K27" s="12">
        <v>213</v>
      </c>
      <c r="L27" s="52">
        <v>75.150000000000006</v>
      </c>
      <c r="M27" s="33">
        <f t="shared" si="3"/>
        <v>137654.96040000001</v>
      </c>
      <c r="N27" s="33">
        <f t="shared" si="4"/>
        <v>498</v>
      </c>
      <c r="O27" s="47">
        <f t="shared" si="5"/>
        <v>294305.02312000003</v>
      </c>
    </row>
    <row r="28" spans="1:15" ht="12" customHeight="1" thickBot="1" x14ac:dyDescent="0.25">
      <c r="A28" s="14" t="s">
        <v>27</v>
      </c>
      <c r="B28" s="25">
        <f>SUM(B6:B27)</f>
        <v>229343</v>
      </c>
      <c r="C28" s="46">
        <f>SUM(C6:C27)</f>
        <v>416445.72</v>
      </c>
      <c r="D28" s="48">
        <f t="shared" si="0"/>
        <v>762818617.36992002</v>
      </c>
      <c r="E28" s="25">
        <f t="shared" ref="E28:L28" si="6">SUM(E6:E27)</f>
        <v>760</v>
      </c>
      <c r="F28" s="46">
        <f t="shared" si="6"/>
        <v>1397.7900000000002</v>
      </c>
      <c r="G28" s="48">
        <f t="shared" si="1"/>
        <v>2560382.2634400008</v>
      </c>
      <c r="H28" s="25">
        <f t="shared" si="6"/>
        <v>47692</v>
      </c>
      <c r="I28" s="46">
        <f t="shared" si="6"/>
        <v>44162.98000000001</v>
      </c>
      <c r="J28" s="48">
        <f t="shared" si="2"/>
        <v>80894920.333280027</v>
      </c>
      <c r="K28" s="25">
        <f t="shared" si="6"/>
        <v>78991</v>
      </c>
      <c r="L28" s="46">
        <f t="shared" si="6"/>
        <v>84772.85</v>
      </c>
      <c r="M28" s="48">
        <f t="shared" si="3"/>
        <v>155281481.16760004</v>
      </c>
      <c r="N28" s="25">
        <f>SUM(N6:N27)</f>
        <v>356786</v>
      </c>
      <c r="O28" s="27">
        <f>SUM(O6:O27)</f>
        <v>1001555401.13424</v>
      </c>
    </row>
    <row r="29" spans="1:15" x14ac:dyDescent="0.2">
      <c r="A29" s="91" t="s">
        <v>30</v>
      </c>
      <c r="B29" s="91"/>
      <c r="C29" s="91"/>
      <c r="D29" s="91"/>
      <c r="E29" s="91"/>
      <c r="F29" s="91"/>
      <c r="G29" s="91"/>
      <c r="H29" s="91"/>
      <c r="I29" s="91"/>
      <c r="J29" s="91"/>
      <c r="K29" s="91"/>
      <c r="L29" s="91"/>
      <c r="M29" s="91"/>
      <c r="N29" s="91"/>
      <c r="O29" s="91"/>
    </row>
    <row r="30" spans="1:15" x14ac:dyDescent="0.2">
      <c r="A30" s="92" t="s">
        <v>31</v>
      </c>
      <c r="B30" s="92"/>
      <c r="C30" s="92"/>
      <c r="D30" s="92"/>
      <c r="E30" s="92"/>
      <c r="F30" s="92"/>
      <c r="G30" s="92"/>
      <c r="H30" s="92"/>
      <c r="I30" s="92"/>
      <c r="J30" s="92"/>
      <c r="K30" s="92"/>
      <c r="L30" s="92"/>
      <c r="M30" s="92"/>
      <c r="N30" s="92"/>
      <c r="O30" s="92"/>
    </row>
    <row r="31" spans="1:15" ht="13.5" x14ac:dyDescent="0.2">
      <c r="A31" s="23" t="s">
        <v>59</v>
      </c>
    </row>
    <row r="32" spans="1:15" ht="13.5" x14ac:dyDescent="0.2">
      <c r="A32" s="23" t="s">
        <v>38</v>
      </c>
    </row>
    <row r="33" spans="1:15" x14ac:dyDescent="0.2">
      <c r="A33" s="15" t="s">
        <v>63</v>
      </c>
      <c r="K33" s="1"/>
      <c r="L33" s="1"/>
      <c r="M33" s="24" t="s">
        <v>33</v>
      </c>
      <c r="N33" s="1"/>
      <c r="O33" s="1"/>
    </row>
    <row r="34" spans="1:15" x14ac:dyDescent="0.2">
      <c r="A34" s="22">
        <v>42921</v>
      </c>
      <c r="K34" s="1"/>
      <c r="L34" s="1"/>
      <c r="M34" s="24" t="s">
        <v>34</v>
      </c>
      <c r="N34" s="1"/>
      <c r="O34" s="1"/>
    </row>
  </sheetData>
  <mergeCells count="11">
    <mergeCell ref="K4:M4"/>
    <mergeCell ref="N4:O4"/>
    <mergeCell ref="A29:O29"/>
    <mergeCell ref="A30:O30"/>
    <mergeCell ref="A1:O1"/>
    <mergeCell ref="B2:O2"/>
    <mergeCell ref="A3:A5"/>
    <mergeCell ref="B3:O3"/>
    <mergeCell ref="B4:D4"/>
    <mergeCell ref="E4:G4"/>
    <mergeCell ref="H4:J4"/>
  </mergeCells>
  <pageMargins left="0.7" right="0.7" top="0.75" bottom="0.75" header="0.3" footer="0.3"/>
  <pageSetup scale="66" orientation="landscape" r:id="rId1"/>
  <colBreaks count="1" manualBreakCount="1">
    <brk id="1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abSelected="1" workbookViewId="0">
      <selection activeCell="H25" sqref="H25"/>
    </sheetView>
  </sheetViews>
  <sheetFormatPr defaultRowHeight="12.75" x14ac:dyDescent="0.2"/>
  <cols>
    <col min="1" max="1" width="33.140625" customWidth="1"/>
    <col min="2" max="2" width="9.140625" style="85"/>
    <col min="3" max="3" width="10.85546875" style="85" customWidth="1"/>
    <col min="4" max="4" width="13.28515625" style="85" customWidth="1"/>
    <col min="5" max="5" width="9.140625" style="85"/>
    <col min="6" max="7" width="10" style="85" customWidth="1"/>
    <col min="8" max="8" width="9.140625" style="85"/>
    <col min="9" max="9" width="10" style="85" customWidth="1"/>
    <col min="10" max="10" width="11.28515625" style="85" customWidth="1"/>
    <col min="11" max="11" width="9.140625" style="85"/>
    <col min="12" max="12" width="11" style="85" customWidth="1"/>
    <col min="13" max="13" width="12.7109375" style="85" customWidth="1"/>
    <col min="14" max="14" width="6.5703125" style="85" bestFit="1" customWidth="1"/>
    <col min="15" max="15" width="10.85546875" style="85" bestFit="1" customWidth="1"/>
  </cols>
  <sheetData>
    <row r="1" spans="1:15" ht="29.25" customHeight="1" thickBot="1" x14ac:dyDescent="0.25">
      <c r="A1" s="111" t="s">
        <v>64</v>
      </c>
      <c r="B1" s="111"/>
      <c r="C1" s="111"/>
      <c r="D1" s="111"/>
      <c r="E1" s="111"/>
      <c r="F1" s="111"/>
      <c r="G1" s="111"/>
      <c r="H1" s="111"/>
      <c r="I1" s="111"/>
      <c r="J1" s="111"/>
      <c r="K1" s="111"/>
      <c r="L1" s="111"/>
      <c r="M1" s="111"/>
      <c r="N1" s="111"/>
      <c r="O1" s="111"/>
    </row>
    <row r="2" spans="1:15" x14ac:dyDescent="0.2">
      <c r="A2" s="2" t="s">
        <v>4</v>
      </c>
      <c r="B2" s="128">
        <v>2017</v>
      </c>
      <c r="C2" s="129"/>
      <c r="D2" s="129"/>
      <c r="E2" s="129"/>
      <c r="F2" s="129"/>
      <c r="G2" s="129"/>
      <c r="H2" s="129"/>
      <c r="I2" s="129"/>
      <c r="J2" s="129"/>
      <c r="K2" s="129"/>
      <c r="L2" s="129"/>
      <c r="M2" s="129"/>
      <c r="N2" s="129"/>
      <c r="O2" s="130"/>
    </row>
    <row r="3" spans="1:15" ht="12" customHeight="1" x14ac:dyDescent="0.2">
      <c r="A3" s="123" t="s">
        <v>40</v>
      </c>
      <c r="B3" s="131" t="s">
        <v>1</v>
      </c>
      <c r="C3" s="132"/>
      <c r="D3" s="132"/>
      <c r="E3" s="132"/>
      <c r="F3" s="132"/>
      <c r="G3" s="132"/>
      <c r="H3" s="132"/>
      <c r="I3" s="132"/>
      <c r="J3" s="132"/>
      <c r="K3" s="132"/>
      <c r="L3" s="132"/>
      <c r="M3" s="132"/>
      <c r="N3" s="132"/>
      <c r="O3" s="133"/>
    </row>
    <row r="4" spans="1:15" ht="12" customHeight="1" x14ac:dyDescent="0.2">
      <c r="A4" s="124"/>
      <c r="B4" s="134" t="s">
        <v>0</v>
      </c>
      <c r="C4" s="134"/>
      <c r="D4" s="135"/>
      <c r="E4" s="135" t="s">
        <v>3</v>
      </c>
      <c r="F4" s="135"/>
      <c r="G4" s="135"/>
      <c r="H4" s="135" t="s">
        <v>28</v>
      </c>
      <c r="I4" s="135"/>
      <c r="J4" s="135"/>
      <c r="K4" s="135" t="s">
        <v>29</v>
      </c>
      <c r="L4" s="135"/>
      <c r="M4" s="135"/>
      <c r="N4" s="135" t="s">
        <v>39</v>
      </c>
      <c r="O4" s="136"/>
    </row>
    <row r="5" spans="1:15" ht="34.5" customHeight="1" x14ac:dyDescent="0.2">
      <c r="A5" s="124"/>
      <c r="B5" s="70" t="s">
        <v>2</v>
      </c>
      <c r="C5" s="70" t="s">
        <v>44</v>
      </c>
      <c r="D5" s="71" t="s">
        <v>32</v>
      </c>
      <c r="E5" s="71" t="s">
        <v>2</v>
      </c>
      <c r="F5" s="70" t="s">
        <v>44</v>
      </c>
      <c r="G5" s="71" t="s">
        <v>32</v>
      </c>
      <c r="H5" s="71" t="s">
        <v>2</v>
      </c>
      <c r="I5" s="70" t="s">
        <v>44</v>
      </c>
      <c r="J5" s="71" t="s">
        <v>32</v>
      </c>
      <c r="K5" s="71" t="s">
        <v>2</v>
      </c>
      <c r="L5" s="70" t="s">
        <v>44</v>
      </c>
      <c r="M5" s="71" t="s">
        <v>32</v>
      </c>
      <c r="N5" s="71" t="s">
        <v>2</v>
      </c>
      <c r="O5" s="76" t="s">
        <v>32</v>
      </c>
    </row>
    <row r="6" spans="1:15" ht="12" customHeight="1" x14ac:dyDescent="0.2">
      <c r="A6" s="6" t="s">
        <v>5</v>
      </c>
      <c r="B6" s="68">
        <v>2399</v>
      </c>
      <c r="C6" s="68">
        <f>3553.94+24.31+3.44</f>
        <v>3581.69</v>
      </c>
      <c r="D6" s="68">
        <f>C6*9068*0.202</f>
        <v>6560710.5138400011</v>
      </c>
      <c r="E6" s="68">
        <v>5</v>
      </c>
      <c r="F6" s="69">
        <v>6.46</v>
      </c>
      <c r="G6" s="68">
        <f>F6*9068*0.202</f>
        <v>11833.01456</v>
      </c>
      <c r="H6" s="68">
        <v>5566</v>
      </c>
      <c r="I6" s="69">
        <v>2510.54</v>
      </c>
      <c r="J6" s="68">
        <f>I6*9068*0.202</f>
        <v>4598646.4974400001</v>
      </c>
      <c r="K6" s="68">
        <v>1368</v>
      </c>
      <c r="L6" s="69">
        <v>975.7</v>
      </c>
      <c r="M6" s="68">
        <f>L6*9068*0.202</f>
        <v>1787224.8152000001</v>
      </c>
      <c r="N6" s="68">
        <f>B6+E6+H6+K6</f>
        <v>9338</v>
      </c>
      <c r="O6" s="72">
        <f>D6+G6+J6+M6</f>
        <v>12958414.84104</v>
      </c>
    </row>
    <row r="7" spans="1:15" ht="12" customHeight="1" x14ac:dyDescent="0.2">
      <c r="A7" s="6" t="s">
        <v>6</v>
      </c>
      <c r="B7" s="68">
        <v>595</v>
      </c>
      <c r="C7" s="68">
        <f>5.4+1531.78+8.15</f>
        <v>1545.3300000000002</v>
      </c>
      <c r="D7" s="68">
        <f t="shared" ref="D7:D28" si="0">C7*9068*0.202</f>
        <v>2830636.5928800004</v>
      </c>
      <c r="E7" s="68">
        <v>7</v>
      </c>
      <c r="F7" s="69">
        <v>10.65</v>
      </c>
      <c r="G7" s="68">
        <f t="shared" ref="G7:G28" si="1">F7*9068*0.202</f>
        <v>19507.988400000002</v>
      </c>
      <c r="H7" s="68">
        <v>66</v>
      </c>
      <c r="I7" s="69">
        <v>127.42</v>
      </c>
      <c r="J7" s="68">
        <f t="shared" ref="J7:J28" si="2">I7*9068*0.202</f>
        <v>233399.80112000002</v>
      </c>
      <c r="K7" s="68">
        <v>210</v>
      </c>
      <c r="L7" s="69">
        <v>278.11</v>
      </c>
      <c r="M7" s="68">
        <f t="shared" ref="M7:M28" si="3">L7*9068*0.202</f>
        <v>509424.09896000003</v>
      </c>
      <c r="N7" s="68">
        <f>B7+E7+H7+K7</f>
        <v>878</v>
      </c>
      <c r="O7" s="72">
        <f>D7+G7+J7+M7</f>
        <v>3592968.4813600006</v>
      </c>
    </row>
    <row r="8" spans="1:15" ht="12" customHeight="1" x14ac:dyDescent="0.2">
      <c r="A8" s="6" t="s">
        <v>7</v>
      </c>
      <c r="B8" s="68">
        <v>22433</v>
      </c>
      <c r="C8" s="68">
        <f>145.98+38845.24+16.82+119.77</f>
        <v>39127.81</v>
      </c>
      <c r="D8" s="68">
        <f t="shared" si="0"/>
        <v>71671818.178159997</v>
      </c>
      <c r="E8" s="68">
        <v>83</v>
      </c>
      <c r="F8" s="69">
        <v>100.88</v>
      </c>
      <c r="G8" s="68">
        <f t="shared" si="1"/>
        <v>184785.52768</v>
      </c>
      <c r="H8" s="68">
        <v>1717</v>
      </c>
      <c r="I8" s="69">
        <v>1836.17</v>
      </c>
      <c r="J8" s="68">
        <f t="shared" si="2"/>
        <v>3363378.6911200001</v>
      </c>
      <c r="K8" s="68">
        <v>10277</v>
      </c>
      <c r="L8" s="69">
        <v>11987.2</v>
      </c>
      <c r="M8" s="68">
        <f t="shared" si="3"/>
        <v>21957385.779200003</v>
      </c>
      <c r="N8" s="68">
        <f t="shared" ref="N8:N27" si="4">B8+E8+H8+K8</f>
        <v>34510</v>
      </c>
      <c r="O8" s="72">
        <f t="shared" ref="O8:O27" si="5">D8+G8+J8+M8</f>
        <v>97177368.176159993</v>
      </c>
    </row>
    <row r="9" spans="1:15" ht="21.75" customHeight="1" x14ac:dyDescent="0.2">
      <c r="A9" s="6" t="s">
        <v>8</v>
      </c>
      <c r="B9" s="68">
        <v>2136</v>
      </c>
      <c r="C9" s="68">
        <f>16.17+7005.68+18.32</f>
        <v>7040.17</v>
      </c>
      <c r="D9" s="68">
        <f t="shared" si="0"/>
        <v>12895732.835120002</v>
      </c>
      <c r="E9" s="68">
        <v>0</v>
      </c>
      <c r="F9" s="69">
        <v>0</v>
      </c>
      <c r="G9" s="68">
        <f t="shared" si="1"/>
        <v>0</v>
      </c>
      <c r="H9" s="68">
        <v>12</v>
      </c>
      <c r="I9" s="69">
        <v>18.05</v>
      </c>
      <c r="J9" s="68">
        <f t="shared" si="2"/>
        <v>33062.834800000004</v>
      </c>
      <c r="K9" s="68">
        <v>148</v>
      </c>
      <c r="L9" s="69">
        <v>120.27</v>
      </c>
      <c r="M9" s="68">
        <f t="shared" si="3"/>
        <v>220302.88871999999</v>
      </c>
      <c r="N9" s="68">
        <f t="shared" si="4"/>
        <v>2296</v>
      </c>
      <c r="O9" s="72">
        <f t="shared" si="5"/>
        <v>13149098.558640001</v>
      </c>
    </row>
    <row r="10" spans="1:15" ht="22.5" customHeight="1" x14ac:dyDescent="0.2">
      <c r="A10" s="6" t="s">
        <v>9</v>
      </c>
      <c r="B10" s="68">
        <v>1404</v>
      </c>
      <c r="C10" s="68">
        <f>5.36+2825.23+3.43</f>
        <v>2834.02</v>
      </c>
      <c r="D10" s="68">
        <f t="shared" si="0"/>
        <v>5191176.4587200005</v>
      </c>
      <c r="E10" s="68">
        <v>5</v>
      </c>
      <c r="F10" s="69">
        <v>2.09</v>
      </c>
      <c r="G10" s="68">
        <f t="shared" si="1"/>
        <v>3828.3282399999998</v>
      </c>
      <c r="H10" s="68">
        <v>99</v>
      </c>
      <c r="I10" s="69">
        <v>95.76</v>
      </c>
      <c r="J10" s="68">
        <f t="shared" si="2"/>
        <v>175407.03936000002</v>
      </c>
      <c r="K10" s="68">
        <v>497</v>
      </c>
      <c r="L10" s="69">
        <v>577.76</v>
      </c>
      <c r="M10" s="68">
        <f t="shared" si="3"/>
        <v>1058303.7913599999</v>
      </c>
      <c r="N10" s="68">
        <f t="shared" si="4"/>
        <v>2005</v>
      </c>
      <c r="O10" s="72">
        <f t="shared" si="5"/>
        <v>6428715.6176800001</v>
      </c>
    </row>
    <row r="11" spans="1:15" ht="12" customHeight="1" x14ac:dyDescent="0.2">
      <c r="A11" s="6" t="s">
        <v>10</v>
      </c>
      <c r="B11" s="68">
        <v>17526</v>
      </c>
      <c r="C11" s="68">
        <f>94.65+29422.99+2.91+124.45</f>
        <v>29645.000000000004</v>
      </c>
      <c r="D11" s="68">
        <f t="shared" si="0"/>
        <v>54301813.720000014</v>
      </c>
      <c r="E11" s="68">
        <v>332</v>
      </c>
      <c r="F11" s="69">
        <v>439.36</v>
      </c>
      <c r="G11" s="68">
        <f t="shared" si="1"/>
        <v>804791.52896000003</v>
      </c>
      <c r="H11" s="68">
        <v>2527</v>
      </c>
      <c r="I11" s="69">
        <v>1915.97</v>
      </c>
      <c r="J11" s="68">
        <f t="shared" si="2"/>
        <v>3509551.2239200003</v>
      </c>
      <c r="K11" s="68">
        <v>9873</v>
      </c>
      <c r="L11" s="69">
        <v>9477.52</v>
      </c>
      <c r="M11" s="68">
        <f t="shared" si="3"/>
        <v>17360314.574720003</v>
      </c>
      <c r="N11" s="68">
        <f t="shared" si="4"/>
        <v>30258</v>
      </c>
      <c r="O11" s="72">
        <f t="shared" si="5"/>
        <v>75976471.047600016</v>
      </c>
    </row>
    <row r="12" spans="1:15" ht="21" customHeight="1" x14ac:dyDescent="0.2">
      <c r="A12" s="6" t="s">
        <v>11</v>
      </c>
      <c r="B12" s="68">
        <v>53458</v>
      </c>
      <c r="C12" s="68">
        <f>366.7+81405.29+30.82+266.23</f>
        <v>82069.039999999994</v>
      </c>
      <c r="D12" s="68">
        <f t="shared" si="0"/>
        <v>150328815.05344</v>
      </c>
      <c r="E12" s="68">
        <v>120</v>
      </c>
      <c r="F12" s="69">
        <v>156</v>
      </c>
      <c r="G12" s="68">
        <f t="shared" si="1"/>
        <v>285750.81599999999</v>
      </c>
      <c r="H12" s="68">
        <v>3768</v>
      </c>
      <c r="I12" s="69">
        <v>4737.49</v>
      </c>
      <c r="J12" s="68">
        <f t="shared" si="2"/>
        <v>8677830.9826400001</v>
      </c>
      <c r="K12" s="68">
        <v>13593</v>
      </c>
      <c r="L12" s="69">
        <v>15715.62</v>
      </c>
      <c r="M12" s="68">
        <f t="shared" si="3"/>
        <v>28786866.91632</v>
      </c>
      <c r="N12" s="68">
        <f t="shared" si="4"/>
        <v>70939</v>
      </c>
      <c r="O12" s="72">
        <f t="shared" si="5"/>
        <v>188079263.76840001</v>
      </c>
    </row>
    <row r="13" spans="1:15" ht="12" customHeight="1" x14ac:dyDescent="0.2">
      <c r="A13" s="6" t="s">
        <v>12</v>
      </c>
      <c r="B13" s="68">
        <v>11360</v>
      </c>
      <c r="C13" s="68">
        <f>115.38+24092.63+8.8+102.07</f>
        <v>24318.880000000001</v>
      </c>
      <c r="D13" s="68">
        <f t="shared" si="0"/>
        <v>44545767.975680001</v>
      </c>
      <c r="E13" s="68">
        <v>11</v>
      </c>
      <c r="F13" s="69">
        <v>14.63</v>
      </c>
      <c r="G13" s="68">
        <f t="shared" si="1"/>
        <v>26798.29768</v>
      </c>
      <c r="H13" s="68">
        <v>1648</v>
      </c>
      <c r="I13" s="69">
        <v>3150.74</v>
      </c>
      <c r="J13" s="68">
        <f t="shared" si="2"/>
        <v>5771323.8846399998</v>
      </c>
      <c r="K13" s="68">
        <v>7371</v>
      </c>
      <c r="L13" s="69">
        <v>9455.19</v>
      </c>
      <c r="M13" s="68">
        <f t="shared" si="3"/>
        <v>17319411.909840003</v>
      </c>
      <c r="N13" s="68">
        <f t="shared" si="4"/>
        <v>20390</v>
      </c>
      <c r="O13" s="72">
        <f t="shared" si="5"/>
        <v>67663302.06784001</v>
      </c>
    </row>
    <row r="14" spans="1:15" ht="24.75" customHeight="1" x14ac:dyDescent="0.2">
      <c r="A14" s="6" t="s">
        <v>13</v>
      </c>
      <c r="B14" s="68">
        <v>31639</v>
      </c>
      <c r="C14" s="68">
        <f>135.07+36708.72+7.7+65.12</f>
        <v>36916.61</v>
      </c>
      <c r="D14" s="68">
        <f t="shared" si="0"/>
        <v>67621483.534960002</v>
      </c>
      <c r="E14" s="68">
        <v>135</v>
      </c>
      <c r="F14" s="69">
        <v>224.19</v>
      </c>
      <c r="G14" s="68">
        <f t="shared" si="1"/>
        <v>410656.89384000003</v>
      </c>
      <c r="H14" s="68">
        <v>5073</v>
      </c>
      <c r="I14" s="69">
        <v>4270.0200000000004</v>
      </c>
      <c r="J14" s="68">
        <f t="shared" si="2"/>
        <v>7821549.354720002</v>
      </c>
      <c r="K14" s="68">
        <v>27328</v>
      </c>
      <c r="L14" s="69">
        <v>20613.28</v>
      </c>
      <c r="M14" s="68">
        <f t="shared" si="3"/>
        <v>37758087.054080002</v>
      </c>
      <c r="N14" s="68">
        <f t="shared" si="4"/>
        <v>64175</v>
      </c>
      <c r="O14" s="72">
        <f t="shared" si="5"/>
        <v>113611776.83759999</v>
      </c>
    </row>
    <row r="15" spans="1:15" ht="12" customHeight="1" x14ac:dyDescent="0.2">
      <c r="A15" s="6" t="s">
        <v>14</v>
      </c>
      <c r="B15" s="68">
        <v>9412</v>
      </c>
      <c r="C15" s="68">
        <f>87.33+24542.87+15.69+131.08</f>
        <v>24776.97</v>
      </c>
      <c r="D15" s="68">
        <f t="shared" si="0"/>
        <v>45384867.919920005</v>
      </c>
      <c r="E15" s="68">
        <v>36</v>
      </c>
      <c r="F15" s="69">
        <v>107.56</v>
      </c>
      <c r="G15" s="68">
        <f t="shared" si="1"/>
        <v>197021.52416000003</v>
      </c>
      <c r="H15" s="68">
        <v>1264</v>
      </c>
      <c r="I15" s="69">
        <v>3777.36</v>
      </c>
      <c r="J15" s="68">
        <f t="shared" si="2"/>
        <v>6919126.2969600009</v>
      </c>
      <c r="K15" s="68">
        <v>1833</v>
      </c>
      <c r="L15" s="69">
        <v>3830.42</v>
      </c>
      <c r="M15" s="68">
        <f t="shared" si="3"/>
        <v>7016318.2091200007</v>
      </c>
      <c r="N15" s="68">
        <f t="shared" si="4"/>
        <v>12545</v>
      </c>
      <c r="O15" s="72">
        <f t="shared" si="5"/>
        <v>59517333.950160004</v>
      </c>
    </row>
    <row r="16" spans="1:15" ht="12" customHeight="1" x14ac:dyDescent="0.2">
      <c r="A16" s="6" t="s">
        <v>15</v>
      </c>
      <c r="B16" s="68">
        <v>17606</v>
      </c>
      <c r="C16" s="68">
        <f>252.29+58671.52+28.95+241.85</f>
        <v>59194.609999999993</v>
      </c>
      <c r="D16" s="68">
        <f t="shared" si="0"/>
        <v>108428898.14296</v>
      </c>
      <c r="E16" s="68">
        <v>16</v>
      </c>
      <c r="F16" s="69">
        <v>33.54</v>
      </c>
      <c r="G16" s="68">
        <f t="shared" si="1"/>
        <v>61436.425439999999</v>
      </c>
      <c r="H16" s="68">
        <v>2043</v>
      </c>
      <c r="I16" s="69">
        <v>6932.39</v>
      </c>
      <c r="J16" s="68">
        <f t="shared" si="2"/>
        <v>12698308.329040002</v>
      </c>
      <c r="K16" s="68">
        <v>2204</v>
      </c>
      <c r="L16" s="69">
        <v>4964.5</v>
      </c>
      <c r="M16" s="68">
        <f t="shared" si="3"/>
        <v>9093653.3720000014</v>
      </c>
      <c r="N16" s="68">
        <f t="shared" si="4"/>
        <v>21869</v>
      </c>
      <c r="O16" s="72">
        <f t="shared" si="5"/>
        <v>130282296.26944</v>
      </c>
    </row>
    <row r="17" spans="1:15" ht="12" customHeight="1" x14ac:dyDescent="0.2">
      <c r="A17" s="6" t="s">
        <v>16</v>
      </c>
      <c r="B17" s="68">
        <v>2290</v>
      </c>
      <c r="C17" s="68">
        <f>12.24+3187.51+2.66+15.98</f>
        <v>3218.39</v>
      </c>
      <c r="D17" s="68">
        <f t="shared" si="0"/>
        <v>5895240.8250400005</v>
      </c>
      <c r="E17" s="68">
        <v>1</v>
      </c>
      <c r="F17" s="69">
        <v>2.87</v>
      </c>
      <c r="G17" s="68">
        <f t="shared" si="1"/>
        <v>5257.0823200000004</v>
      </c>
      <c r="H17" s="68">
        <v>230</v>
      </c>
      <c r="I17" s="69">
        <v>318.97000000000003</v>
      </c>
      <c r="J17" s="68">
        <f t="shared" si="2"/>
        <v>584268.83192000014</v>
      </c>
      <c r="K17" s="68">
        <v>769</v>
      </c>
      <c r="L17" s="69">
        <v>906.29</v>
      </c>
      <c r="M17" s="68">
        <f t="shared" si="3"/>
        <v>1660084.0194399999</v>
      </c>
      <c r="N17" s="68">
        <f t="shared" si="4"/>
        <v>3290</v>
      </c>
      <c r="O17" s="72">
        <f t="shared" si="5"/>
        <v>8144850.7587200003</v>
      </c>
    </row>
    <row r="18" spans="1:15" ht="27" customHeight="1" x14ac:dyDescent="0.2">
      <c r="A18" s="6" t="s">
        <v>17</v>
      </c>
      <c r="B18" s="68">
        <v>21936</v>
      </c>
      <c r="C18" s="68">
        <f>281.74+48362.88+20.13+255.35</f>
        <v>48920.099999999991</v>
      </c>
      <c r="D18" s="68">
        <f t="shared" si="0"/>
        <v>89608708.293599978</v>
      </c>
      <c r="E18" s="68">
        <v>35</v>
      </c>
      <c r="F18" s="69">
        <v>69.08</v>
      </c>
      <c r="G18" s="68">
        <f t="shared" si="1"/>
        <v>126536.32287999999</v>
      </c>
      <c r="H18" s="68">
        <v>1984</v>
      </c>
      <c r="I18" s="69">
        <v>5261.31</v>
      </c>
      <c r="J18" s="68">
        <f t="shared" si="2"/>
        <v>9637330.9341600016</v>
      </c>
      <c r="K18" s="68">
        <v>3899</v>
      </c>
      <c r="L18" s="69">
        <v>7174.43</v>
      </c>
      <c r="M18" s="68">
        <f t="shared" si="3"/>
        <v>13141661.710480001</v>
      </c>
      <c r="N18" s="68">
        <f t="shared" si="4"/>
        <v>27854</v>
      </c>
      <c r="O18" s="72">
        <f t="shared" si="5"/>
        <v>112514237.26111999</v>
      </c>
    </row>
    <row r="19" spans="1:15" ht="12" customHeight="1" x14ac:dyDescent="0.2">
      <c r="A19" s="6" t="s">
        <v>18</v>
      </c>
      <c r="B19" s="68">
        <v>6840</v>
      </c>
      <c r="C19" s="68">
        <f>84.78+10507.79+21.5+33.29</f>
        <v>10647.360000000002</v>
      </c>
      <c r="D19" s="68">
        <f t="shared" si="0"/>
        <v>19503152.616960004</v>
      </c>
      <c r="E19" s="68">
        <v>13</v>
      </c>
      <c r="F19" s="69">
        <v>22.39</v>
      </c>
      <c r="G19" s="68">
        <f t="shared" si="1"/>
        <v>41012.569040000009</v>
      </c>
      <c r="H19" s="68">
        <v>877</v>
      </c>
      <c r="I19" s="69">
        <v>1247.03</v>
      </c>
      <c r="J19" s="68">
        <f t="shared" si="2"/>
        <v>2284229.7440800001</v>
      </c>
      <c r="K19" s="68">
        <v>3768</v>
      </c>
      <c r="L19" s="69">
        <v>4291.93</v>
      </c>
      <c r="M19" s="68">
        <f t="shared" si="3"/>
        <v>7861682.6904800013</v>
      </c>
      <c r="N19" s="68">
        <f t="shared" si="4"/>
        <v>11498</v>
      </c>
      <c r="O19" s="72">
        <f t="shared" si="5"/>
        <v>29690077.620560005</v>
      </c>
    </row>
    <row r="20" spans="1:15" ht="21.75" customHeight="1" x14ac:dyDescent="0.2">
      <c r="A20" s="6" t="s">
        <v>19</v>
      </c>
      <c r="B20" s="68">
        <v>8094</v>
      </c>
      <c r="C20" s="68">
        <f>11.66+17999.88+5.26+54.17</f>
        <v>18070.969999999998</v>
      </c>
      <c r="D20" s="68">
        <f t="shared" si="0"/>
        <v>33101246.303919997</v>
      </c>
      <c r="E20" s="68">
        <v>56</v>
      </c>
      <c r="F20" s="69">
        <v>167.51</v>
      </c>
      <c r="G20" s="68">
        <f t="shared" si="1"/>
        <v>306834.09736000001</v>
      </c>
      <c r="H20" s="68">
        <v>34</v>
      </c>
      <c r="I20" s="69">
        <v>67.14</v>
      </c>
      <c r="J20" s="68">
        <f t="shared" si="2"/>
        <v>122982.75504000002</v>
      </c>
      <c r="K20" s="68">
        <v>142</v>
      </c>
      <c r="L20" s="69">
        <v>278.02999999999997</v>
      </c>
      <c r="M20" s="68">
        <f t="shared" si="3"/>
        <v>509277.56007999997</v>
      </c>
      <c r="N20" s="68">
        <f t="shared" si="4"/>
        <v>8326</v>
      </c>
      <c r="O20" s="72">
        <f t="shared" si="5"/>
        <v>34040340.716399997</v>
      </c>
    </row>
    <row r="21" spans="1:15" ht="12" customHeight="1" x14ac:dyDescent="0.2">
      <c r="A21" s="6" t="s">
        <v>20</v>
      </c>
      <c r="B21" s="73">
        <v>11958</v>
      </c>
      <c r="C21" s="73">
        <f>115.23+21672.5+18.31+65.28</f>
        <v>21871.32</v>
      </c>
      <c r="D21" s="68">
        <f t="shared" si="0"/>
        <v>40062484.211520001</v>
      </c>
      <c r="E21" s="73">
        <v>12</v>
      </c>
      <c r="F21" s="74">
        <v>21.6</v>
      </c>
      <c r="G21" s="68">
        <f t="shared" si="1"/>
        <v>39565.497600000002</v>
      </c>
      <c r="H21" s="73">
        <v>340</v>
      </c>
      <c r="I21" s="74">
        <v>666.9</v>
      </c>
      <c r="J21" s="68">
        <f t="shared" si="2"/>
        <v>1221584.7384000001</v>
      </c>
      <c r="K21" s="73">
        <v>1783</v>
      </c>
      <c r="L21" s="74">
        <v>3222.61</v>
      </c>
      <c r="M21" s="68">
        <f t="shared" si="3"/>
        <v>5902970.7509600008</v>
      </c>
      <c r="N21" s="68">
        <f t="shared" si="4"/>
        <v>14093</v>
      </c>
      <c r="O21" s="72">
        <f t="shared" si="5"/>
        <v>47226605.198479995</v>
      </c>
    </row>
    <row r="22" spans="1:15" ht="27" customHeight="1" x14ac:dyDescent="0.2">
      <c r="A22" s="6" t="s">
        <v>21</v>
      </c>
      <c r="B22" s="75">
        <v>6909</v>
      </c>
      <c r="C22" s="75">
        <f>34.58+11630.06+5.9+25.18</f>
        <v>11695.72</v>
      </c>
      <c r="D22" s="68">
        <f t="shared" si="0"/>
        <v>21423471.36992</v>
      </c>
      <c r="E22" s="75">
        <v>4</v>
      </c>
      <c r="F22" s="69">
        <v>8.6300000000000008</v>
      </c>
      <c r="G22" s="68">
        <f t="shared" si="1"/>
        <v>15807.881680000004</v>
      </c>
      <c r="H22" s="75">
        <v>330</v>
      </c>
      <c r="I22" s="69">
        <v>427.83</v>
      </c>
      <c r="J22" s="68">
        <f t="shared" si="2"/>
        <v>783671.61288000003</v>
      </c>
      <c r="K22" s="75">
        <v>1451</v>
      </c>
      <c r="L22" s="69">
        <v>2110.81</v>
      </c>
      <c r="M22" s="68">
        <f t="shared" si="3"/>
        <v>3866446.66616</v>
      </c>
      <c r="N22" s="68">
        <f t="shared" si="4"/>
        <v>8694</v>
      </c>
      <c r="O22" s="72">
        <f t="shared" si="5"/>
        <v>26089397.530639999</v>
      </c>
    </row>
    <row r="23" spans="1:15" ht="12" customHeight="1" x14ac:dyDescent="0.2">
      <c r="A23" s="10" t="s">
        <v>22</v>
      </c>
      <c r="B23" s="73">
        <v>4284</v>
      </c>
      <c r="C23" s="73">
        <f>26.09+5146.93+6.57+31.6</f>
        <v>5211.1900000000005</v>
      </c>
      <c r="D23" s="68">
        <f t="shared" si="0"/>
        <v>9545524.3258400001</v>
      </c>
      <c r="E23" s="73">
        <v>4</v>
      </c>
      <c r="F23" s="74">
        <v>4.33</v>
      </c>
      <c r="G23" s="68">
        <f t="shared" si="1"/>
        <v>7931.4168800000007</v>
      </c>
      <c r="H23" s="73">
        <v>570</v>
      </c>
      <c r="I23" s="74">
        <v>525.22</v>
      </c>
      <c r="J23" s="68">
        <f t="shared" si="2"/>
        <v>962064.38192000007</v>
      </c>
      <c r="K23" s="73">
        <v>1860</v>
      </c>
      <c r="L23" s="74">
        <v>1799.05</v>
      </c>
      <c r="M23" s="68">
        <f t="shared" si="3"/>
        <v>3295384.6508000004</v>
      </c>
      <c r="N23" s="68">
        <f t="shared" si="4"/>
        <v>6718</v>
      </c>
      <c r="O23" s="72">
        <f t="shared" si="5"/>
        <v>13810904.775440002</v>
      </c>
    </row>
    <row r="24" spans="1:15" ht="16.5" customHeight="1" x14ac:dyDescent="0.2">
      <c r="A24" s="10" t="s">
        <v>23</v>
      </c>
      <c r="B24" s="73">
        <v>7271</v>
      </c>
      <c r="C24" s="73">
        <f>36.12+11310.79+7.54+35.83</f>
        <v>11390.280000000002</v>
      </c>
      <c r="D24" s="68">
        <f t="shared" si="0"/>
        <v>20863985.926080007</v>
      </c>
      <c r="E24" s="73">
        <v>15</v>
      </c>
      <c r="F24" s="74">
        <v>13.71</v>
      </c>
      <c r="G24" s="68">
        <f t="shared" si="1"/>
        <v>25113.100560000003</v>
      </c>
      <c r="H24" s="73">
        <v>537</v>
      </c>
      <c r="I24" s="74">
        <v>551.74</v>
      </c>
      <c r="J24" s="68">
        <f t="shared" si="2"/>
        <v>1010642.0206400001</v>
      </c>
      <c r="K24" s="73">
        <v>1800</v>
      </c>
      <c r="L24" s="74">
        <v>1659.42</v>
      </c>
      <c r="M24" s="68">
        <f t="shared" si="3"/>
        <v>3039619.3531200001</v>
      </c>
      <c r="N24" s="68">
        <f t="shared" si="4"/>
        <v>9623</v>
      </c>
      <c r="O24" s="72">
        <f t="shared" si="5"/>
        <v>24939360.400400005</v>
      </c>
    </row>
    <row r="25" spans="1:15" ht="48" customHeight="1" x14ac:dyDescent="0.2">
      <c r="A25" s="10" t="s">
        <v>24</v>
      </c>
      <c r="B25" s="75">
        <v>370</v>
      </c>
      <c r="C25" s="75">
        <f>74.27+155.71+0.62</f>
        <v>230.60000000000002</v>
      </c>
      <c r="D25" s="68">
        <f t="shared" si="0"/>
        <v>422398.32160000008</v>
      </c>
      <c r="E25" s="75">
        <v>4</v>
      </c>
      <c r="F25" s="69">
        <v>2.3199999999999998</v>
      </c>
      <c r="G25" s="68">
        <f t="shared" si="1"/>
        <v>4249.62752</v>
      </c>
      <c r="H25" s="75">
        <v>24816</v>
      </c>
      <c r="I25" s="69">
        <v>12645.38</v>
      </c>
      <c r="J25" s="68">
        <f t="shared" si="2"/>
        <v>23162997.779679999</v>
      </c>
      <c r="K25" s="75">
        <v>355</v>
      </c>
      <c r="L25" s="69">
        <v>193.16</v>
      </c>
      <c r="M25" s="68">
        <f t="shared" si="3"/>
        <v>353818.12576000002</v>
      </c>
      <c r="N25" s="68">
        <f t="shared" si="4"/>
        <v>25545</v>
      </c>
      <c r="O25" s="72">
        <f t="shared" si="5"/>
        <v>23943463.854559999</v>
      </c>
    </row>
    <row r="26" spans="1:15" ht="22.5" x14ac:dyDescent="0.2">
      <c r="A26" s="10" t="s">
        <v>25</v>
      </c>
      <c r="B26" s="73">
        <v>302</v>
      </c>
      <c r="C26" s="73">
        <f>14.21+899.52+4.65</f>
        <v>918.38</v>
      </c>
      <c r="D26" s="68">
        <f t="shared" si="0"/>
        <v>1682229.70768</v>
      </c>
      <c r="E26" s="73">
        <v>38</v>
      </c>
      <c r="F26" s="74">
        <v>105</v>
      </c>
      <c r="G26" s="68">
        <f t="shared" si="1"/>
        <v>192332.28</v>
      </c>
      <c r="H26" s="73">
        <v>72</v>
      </c>
      <c r="I26" s="74">
        <v>200.33</v>
      </c>
      <c r="J26" s="68">
        <f t="shared" si="2"/>
        <v>366951.67288000009</v>
      </c>
      <c r="K26" s="73">
        <v>73</v>
      </c>
      <c r="L26" s="74">
        <v>220.08</v>
      </c>
      <c r="M26" s="68">
        <f t="shared" si="3"/>
        <v>403128.45888000005</v>
      </c>
      <c r="N26" s="68">
        <f t="shared" si="4"/>
        <v>485</v>
      </c>
      <c r="O26" s="72">
        <f t="shared" si="5"/>
        <v>2644642.1194400005</v>
      </c>
    </row>
    <row r="27" spans="1:15" ht="12" customHeight="1" thickBot="1" x14ac:dyDescent="0.25">
      <c r="A27" s="11" t="s">
        <v>26</v>
      </c>
      <c r="B27" s="77">
        <v>35</v>
      </c>
      <c r="C27" s="77">
        <f>0.35+20.25</f>
        <v>20.6</v>
      </c>
      <c r="D27" s="78">
        <f t="shared" si="0"/>
        <v>37733.761600000005</v>
      </c>
      <c r="E27" s="77">
        <v>0</v>
      </c>
      <c r="F27" s="79">
        <v>0</v>
      </c>
      <c r="G27" s="78">
        <f t="shared" si="1"/>
        <v>0</v>
      </c>
      <c r="H27" s="77">
        <v>246</v>
      </c>
      <c r="I27" s="79">
        <v>70.16</v>
      </c>
      <c r="J27" s="78">
        <f t="shared" si="2"/>
        <v>128514.59776</v>
      </c>
      <c r="K27" s="77">
        <v>195</v>
      </c>
      <c r="L27" s="79">
        <v>71.959999999999994</v>
      </c>
      <c r="M27" s="78">
        <f t="shared" si="3"/>
        <v>131811.72255999999</v>
      </c>
      <c r="N27" s="78">
        <f t="shared" si="4"/>
        <v>476</v>
      </c>
      <c r="O27" s="80">
        <f t="shared" si="5"/>
        <v>298060.08192000003</v>
      </c>
    </row>
    <row r="28" spans="1:15" ht="12" customHeight="1" thickBot="1" x14ac:dyDescent="0.25">
      <c r="A28" s="14" t="s">
        <v>27</v>
      </c>
      <c r="B28" s="81">
        <f>SUM(B6:B27)</f>
        <v>240257</v>
      </c>
      <c r="C28" s="82">
        <f>SUM(C6:C27)</f>
        <v>443245.03999999992</v>
      </c>
      <c r="D28" s="83">
        <f t="shared" si="0"/>
        <v>811907896.58943987</v>
      </c>
      <c r="E28" s="81">
        <f t="shared" ref="E28:L28" si="6">SUM(E6:E27)</f>
        <v>932</v>
      </c>
      <c r="F28" s="82">
        <f t="shared" si="6"/>
        <v>1512.7999999999997</v>
      </c>
      <c r="G28" s="83">
        <f t="shared" si="1"/>
        <v>2771050.2207999993</v>
      </c>
      <c r="H28" s="81">
        <f t="shared" si="6"/>
        <v>53819</v>
      </c>
      <c r="I28" s="82">
        <f t="shared" si="6"/>
        <v>51353.920000000006</v>
      </c>
      <c r="J28" s="83">
        <f t="shared" si="2"/>
        <v>94066824.005120024</v>
      </c>
      <c r="K28" s="81">
        <f t="shared" si="6"/>
        <v>90797</v>
      </c>
      <c r="L28" s="82">
        <f t="shared" si="6"/>
        <v>99923.339999999982</v>
      </c>
      <c r="M28" s="83">
        <f t="shared" si="3"/>
        <v>183033179.11824</v>
      </c>
      <c r="N28" s="81">
        <f>SUM(N6:N27)</f>
        <v>385805</v>
      </c>
      <c r="O28" s="84">
        <f>SUM(O6:O27)</f>
        <v>1091778949.9336002</v>
      </c>
    </row>
    <row r="29" spans="1:15" x14ac:dyDescent="0.2">
      <c r="A29" s="91" t="s">
        <v>30</v>
      </c>
      <c r="B29" s="91"/>
      <c r="C29" s="91"/>
      <c r="D29" s="91"/>
      <c r="E29" s="91"/>
      <c r="F29" s="91"/>
      <c r="G29" s="91"/>
      <c r="H29" s="91"/>
      <c r="I29" s="91"/>
      <c r="J29" s="91"/>
      <c r="K29" s="91"/>
      <c r="L29" s="91"/>
      <c r="M29" s="91"/>
      <c r="N29" s="91"/>
      <c r="O29" s="91"/>
    </row>
    <row r="30" spans="1:15" x14ac:dyDescent="0.2">
      <c r="A30" s="92" t="s">
        <v>31</v>
      </c>
      <c r="B30" s="92"/>
      <c r="C30" s="92"/>
      <c r="D30" s="92"/>
      <c r="E30" s="92"/>
      <c r="F30" s="92"/>
      <c r="G30" s="92"/>
      <c r="H30" s="92"/>
      <c r="I30" s="92"/>
      <c r="J30" s="92"/>
      <c r="K30" s="92"/>
      <c r="L30" s="92"/>
      <c r="M30" s="92"/>
      <c r="N30" s="92"/>
      <c r="O30" s="92"/>
    </row>
    <row r="31" spans="1:15" ht="13.5" x14ac:dyDescent="0.2">
      <c r="A31" s="23" t="s">
        <v>59</v>
      </c>
    </row>
    <row r="32" spans="1:15" ht="13.5" x14ac:dyDescent="0.2">
      <c r="A32" s="23" t="s">
        <v>38</v>
      </c>
    </row>
    <row r="33" spans="1:15" x14ac:dyDescent="0.2">
      <c r="A33" s="15" t="s">
        <v>65</v>
      </c>
      <c r="K33" s="86"/>
      <c r="L33" s="86"/>
      <c r="M33" s="87" t="s">
        <v>33</v>
      </c>
      <c r="N33" s="86"/>
      <c r="O33" s="86"/>
    </row>
    <row r="34" spans="1:15" x14ac:dyDescent="0.2">
      <c r="A34" s="22">
        <v>43354</v>
      </c>
      <c r="K34" s="86"/>
      <c r="L34" s="86"/>
      <c r="M34" s="87" t="s">
        <v>34</v>
      </c>
      <c r="N34" s="86"/>
      <c r="O34" s="86"/>
    </row>
    <row r="40" spans="1:15" x14ac:dyDescent="0.2">
      <c r="G40" s="88"/>
    </row>
  </sheetData>
  <mergeCells count="11">
    <mergeCell ref="A29:O29"/>
    <mergeCell ref="A30:O30"/>
    <mergeCell ref="A1:O1"/>
    <mergeCell ref="B2:O2"/>
    <mergeCell ref="A3:A5"/>
    <mergeCell ref="B3:O3"/>
    <mergeCell ref="B4:D4"/>
    <mergeCell ref="E4:G4"/>
    <mergeCell ref="H4:J4"/>
    <mergeCell ref="K4:M4"/>
    <mergeCell ref="N4:O4"/>
  </mergeCells>
  <pageMargins left="0.7" right="0.7" top="0.75" bottom="0.75" header="0.3" footer="0.3"/>
  <pageSetup paperSize="9"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zoomScaleNormal="100" workbookViewId="0">
      <selection activeCell="A2" sqref="A2"/>
    </sheetView>
  </sheetViews>
  <sheetFormatPr defaultRowHeight="12.75" x14ac:dyDescent="0.2"/>
  <cols>
    <col min="1" max="1" width="33.140625" customWidth="1"/>
    <col min="2" max="2" width="9.140625" style="85"/>
    <col min="3" max="3" width="10.85546875" style="85" customWidth="1"/>
    <col min="4" max="4" width="13.28515625" style="85" customWidth="1"/>
    <col min="5" max="5" width="9.140625" style="85"/>
    <col min="6" max="7" width="10" style="85" customWidth="1"/>
    <col min="8" max="8" width="9.140625" style="85"/>
    <col min="9" max="9" width="10" style="85" customWidth="1"/>
    <col min="10" max="10" width="11.28515625" style="85" customWidth="1"/>
    <col min="11" max="11" width="9.140625" style="85"/>
    <col min="12" max="12" width="11" style="85" customWidth="1"/>
    <col min="13" max="13" width="12.7109375" style="85" customWidth="1"/>
    <col min="14" max="14" width="6.5703125" style="85" bestFit="1" customWidth="1"/>
    <col min="15" max="15" width="10.85546875" style="85" bestFit="1" customWidth="1"/>
    <col min="16" max="16" width="12.7109375" bestFit="1" customWidth="1"/>
  </cols>
  <sheetData>
    <row r="1" spans="1:15" ht="29.25" customHeight="1" thickBot="1" x14ac:dyDescent="0.25">
      <c r="A1" s="111" t="s">
        <v>66</v>
      </c>
      <c r="B1" s="111"/>
      <c r="C1" s="111"/>
      <c r="D1" s="111"/>
      <c r="E1" s="111"/>
      <c r="F1" s="111"/>
      <c r="G1" s="111"/>
      <c r="H1" s="111"/>
      <c r="I1" s="111"/>
      <c r="J1" s="111"/>
      <c r="K1" s="111"/>
      <c r="L1" s="111"/>
      <c r="M1" s="111"/>
      <c r="N1" s="111"/>
      <c r="O1" s="111"/>
    </row>
    <row r="2" spans="1:15" x14ac:dyDescent="0.2">
      <c r="A2" s="2" t="s">
        <v>4</v>
      </c>
      <c r="B2" s="128">
        <v>2018</v>
      </c>
      <c r="C2" s="129"/>
      <c r="D2" s="129"/>
      <c r="E2" s="129"/>
      <c r="F2" s="129"/>
      <c r="G2" s="129"/>
      <c r="H2" s="129"/>
      <c r="I2" s="129"/>
      <c r="J2" s="129"/>
      <c r="K2" s="129"/>
      <c r="L2" s="129"/>
      <c r="M2" s="129"/>
      <c r="N2" s="129"/>
      <c r="O2" s="130"/>
    </row>
    <row r="3" spans="1:15" ht="12" customHeight="1" x14ac:dyDescent="0.2">
      <c r="A3" s="123" t="s">
        <v>40</v>
      </c>
      <c r="B3" s="131" t="s">
        <v>1</v>
      </c>
      <c r="C3" s="132"/>
      <c r="D3" s="132"/>
      <c r="E3" s="132"/>
      <c r="F3" s="132"/>
      <c r="G3" s="132"/>
      <c r="H3" s="132"/>
      <c r="I3" s="132"/>
      <c r="J3" s="132"/>
      <c r="K3" s="132"/>
      <c r="L3" s="132"/>
      <c r="M3" s="132"/>
      <c r="N3" s="132"/>
      <c r="O3" s="133"/>
    </row>
    <row r="4" spans="1:15" ht="23.25" customHeight="1" x14ac:dyDescent="0.2">
      <c r="A4" s="124"/>
      <c r="B4" s="134" t="s">
        <v>0</v>
      </c>
      <c r="C4" s="134"/>
      <c r="D4" s="135"/>
      <c r="E4" s="135" t="s">
        <v>3</v>
      </c>
      <c r="F4" s="135"/>
      <c r="G4" s="135"/>
      <c r="H4" s="135" t="s">
        <v>28</v>
      </c>
      <c r="I4" s="135"/>
      <c r="J4" s="135"/>
      <c r="K4" s="135" t="s">
        <v>29</v>
      </c>
      <c r="L4" s="135"/>
      <c r="M4" s="135"/>
      <c r="N4" s="135" t="s">
        <v>39</v>
      </c>
      <c r="O4" s="136"/>
    </row>
    <row r="5" spans="1:15" ht="34.5" customHeight="1" x14ac:dyDescent="0.2">
      <c r="A5" s="124"/>
      <c r="B5" s="70" t="s">
        <v>2</v>
      </c>
      <c r="C5" s="70" t="s">
        <v>44</v>
      </c>
      <c r="D5" s="71" t="s">
        <v>32</v>
      </c>
      <c r="E5" s="71" t="s">
        <v>2</v>
      </c>
      <c r="F5" s="70" t="s">
        <v>44</v>
      </c>
      <c r="G5" s="71" t="s">
        <v>32</v>
      </c>
      <c r="H5" s="71" t="s">
        <v>2</v>
      </c>
      <c r="I5" s="70" t="s">
        <v>44</v>
      </c>
      <c r="J5" s="71" t="s">
        <v>32</v>
      </c>
      <c r="K5" s="71" t="s">
        <v>2</v>
      </c>
      <c r="L5" s="70" t="s">
        <v>44</v>
      </c>
      <c r="M5" s="71" t="s">
        <v>32</v>
      </c>
      <c r="N5" s="71" t="s">
        <v>2</v>
      </c>
      <c r="O5" s="76" t="s">
        <v>32</v>
      </c>
    </row>
    <row r="6" spans="1:15" ht="12" customHeight="1" x14ac:dyDescent="0.2">
      <c r="A6" s="6" t="s">
        <v>5</v>
      </c>
      <c r="B6" s="68">
        <v>2482</v>
      </c>
      <c r="C6" s="68">
        <v>3823.86</v>
      </c>
      <c r="D6" s="68">
        <f t="shared" ref="D6:D28" si="0">C6*9106*0.202</f>
        <v>7033653.9703200012</v>
      </c>
      <c r="E6" s="68">
        <v>7</v>
      </c>
      <c r="F6" s="69">
        <v>5.82</v>
      </c>
      <c r="G6" s="68">
        <f t="shared" ref="G6:G28" si="1">F6*9106*0.202</f>
        <v>10705.377840000001</v>
      </c>
      <c r="H6" s="68">
        <v>5692</v>
      </c>
      <c r="I6" s="69">
        <v>2678.05</v>
      </c>
      <c r="J6" s="68">
        <f t="shared" ref="J6:J15" si="2">I6*9106*0.202</f>
        <v>4926037.3066000007</v>
      </c>
      <c r="K6" s="68">
        <v>1280</v>
      </c>
      <c r="L6" s="69">
        <v>988.42</v>
      </c>
      <c r="M6" s="68">
        <f t="shared" ref="M6:M28" si="3">L6*9106*0.202</f>
        <v>1818111.60904</v>
      </c>
      <c r="N6" s="68">
        <f>B6+E6+H6+K6</f>
        <v>9461</v>
      </c>
      <c r="O6" s="72">
        <f>D6+G6+J6+M6</f>
        <v>13788508.263800003</v>
      </c>
    </row>
    <row r="7" spans="1:15" ht="12" customHeight="1" x14ac:dyDescent="0.2">
      <c r="A7" s="6" t="s">
        <v>6</v>
      </c>
      <c r="B7" s="68">
        <v>578</v>
      </c>
      <c r="C7" s="68">
        <v>1633.52</v>
      </c>
      <c r="D7" s="68">
        <f t="shared" si="0"/>
        <v>3004716.29024</v>
      </c>
      <c r="E7" s="68">
        <v>11</v>
      </c>
      <c r="F7" s="69">
        <v>17.670000000000002</v>
      </c>
      <c r="G7" s="68">
        <f t="shared" si="1"/>
        <v>32502.410040000006</v>
      </c>
      <c r="H7" s="68">
        <v>86</v>
      </c>
      <c r="I7" s="69">
        <v>188.65</v>
      </c>
      <c r="J7" s="68">
        <f t="shared" si="2"/>
        <v>347005.07380000007</v>
      </c>
      <c r="K7" s="68">
        <v>278</v>
      </c>
      <c r="L7" s="69">
        <v>368.58</v>
      </c>
      <c r="M7" s="68">
        <f t="shared" si="3"/>
        <v>677970.47496000002</v>
      </c>
      <c r="N7" s="68">
        <f>B7+E7+H7+K7</f>
        <v>953</v>
      </c>
      <c r="O7" s="72">
        <f>D7+G7+J7+M7</f>
        <v>4062194.2490400001</v>
      </c>
    </row>
    <row r="8" spans="1:15" ht="12" customHeight="1" x14ac:dyDescent="0.2">
      <c r="A8" s="6" t="s">
        <v>7</v>
      </c>
      <c r="B8" s="68">
        <v>23024</v>
      </c>
      <c r="C8" s="68">
        <v>41543.94</v>
      </c>
      <c r="D8" s="68">
        <f t="shared" si="0"/>
        <v>76416421.763280019</v>
      </c>
      <c r="E8" s="68">
        <v>122</v>
      </c>
      <c r="F8" s="69">
        <v>138.75</v>
      </c>
      <c r="G8" s="68">
        <f t="shared" si="1"/>
        <v>255218.41500000001</v>
      </c>
      <c r="H8" s="68">
        <v>2277</v>
      </c>
      <c r="I8" s="69">
        <v>2389.8200000000002</v>
      </c>
      <c r="J8" s="68">
        <f t="shared" si="2"/>
        <v>4395863.5858400008</v>
      </c>
      <c r="K8" s="68">
        <v>10953</v>
      </c>
      <c r="L8" s="69">
        <v>13784.12</v>
      </c>
      <c r="M8" s="68">
        <f t="shared" si="3"/>
        <v>25354675.737440005</v>
      </c>
      <c r="N8" s="68">
        <f t="shared" ref="N8:N27" si="4">B8+E8+H8+K8</f>
        <v>36376</v>
      </c>
      <c r="O8" s="72">
        <f t="shared" ref="O8:O27" si="5">D8+G8+J8+M8</f>
        <v>106422179.50156003</v>
      </c>
    </row>
    <row r="9" spans="1:15" ht="21.75" customHeight="1" x14ac:dyDescent="0.2">
      <c r="A9" s="6" t="s">
        <v>8</v>
      </c>
      <c r="B9" s="68">
        <v>2244</v>
      </c>
      <c r="C9" s="68">
        <v>7460.78</v>
      </c>
      <c r="D9" s="68">
        <f t="shared" si="0"/>
        <v>13723448.261359999</v>
      </c>
      <c r="E9" s="68">
        <v>0</v>
      </c>
      <c r="F9" s="69">
        <v>0</v>
      </c>
      <c r="G9" s="68">
        <f t="shared" si="1"/>
        <v>0</v>
      </c>
      <c r="H9" s="68">
        <v>16</v>
      </c>
      <c r="I9" s="69">
        <v>22.57</v>
      </c>
      <c r="J9" s="68">
        <f t="shared" si="2"/>
        <v>41515.528840000006</v>
      </c>
      <c r="K9" s="68">
        <v>55</v>
      </c>
      <c r="L9" s="69">
        <v>116.99</v>
      </c>
      <c r="M9" s="68">
        <f t="shared" si="3"/>
        <v>215192.80988000002</v>
      </c>
      <c r="N9" s="68">
        <f t="shared" si="4"/>
        <v>2315</v>
      </c>
      <c r="O9" s="72">
        <f t="shared" si="5"/>
        <v>13980156.600079998</v>
      </c>
    </row>
    <row r="10" spans="1:15" ht="22.5" customHeight="1" x14ac:dyDescent="0.2">
      <c r="A10" s="6" t="s">
        <v>9</v>
      </c>
      <c r="B10" s="68">
        <v>1505</v>
      </c>
      <c r="C10" s="68">
        <v>3041.62</v>
      </c>
      <c r="D10" s="68">
        <f t="shared" si="0"/>
        <v>5594792.3274400001</v>
      </c>
      <c r="E10" s="68">
        <v>4</v>
      </c>
      <c r="F10" s="69">
        <v>0.48</v>
      </c>
      <c r="G10" s="68">
        <f t="shared" si="1"/>
        <v>882.91776000000004</v>
      </c>
      <c r="H10" s="68">
        <v>211</v>
      </c>
      <c r="I10" s="69">
        <v>164.64</v>
      </c>
      <c r="J10" s="68">
        <f t="shared" si="2"/>
        <v>302840.79167999997</v>
      </c>
      <c r="K10" s="68">
        <v>621</v>
      </c>
      <c r="L10" s="69">
        <v>740.16</v>
      </c>
      <c r="M10" s="68">
        <f t="shared" si="3"/>
        <v>1361459.1859200001</v>
      </c>
      <c r="N10" s="68">
        <f t="shared" si="4"/>
        <v>2341</v>
      </c>
      <c r="O10" s="72">
        <f t="shared" si="5"/>
        <v>7259975.2227999996</v>
      </c>
    </row>
    <row r="11" spans="1:15" ht="12" customHeight="1" x14ac:dyDescent="0.2">
      <c r="A11" s="6" t="s">
        <v>10</v>
      </c>
      <c r="B11" s="68">
        <v>18862</v>
      </c>
      <c r="C11" s="68">
        <v>33626.28</v>
      </c>
      <c r="D11" s="68">
        <f t="shared" si="0"/>
        <v>61852582.947360009</v>
      </c>
      <c r="E11" s="68">
        <v>714</v>
      </c>
      <c r="F11" s="69">
        <v>732.21</v>
      </c>
      <c r="G11" s="68">
        <f t="shared" si="1"/>
        <v>1346835.8605200003</v>
      </c>
      <c r="H11" s="68">
        <v>3642</v>
      </c>
      <c r="I11" s="69">
        <v>2801.04</v>
      </c>
      <c r="J11" s="68">
        <f t="shared" si="2"/>
        <v>5152266.5884800004</v>
      </c>
      <c r="K11" s="68">
        <v>12008</v>
      </c>
      <c r="L11" s="69">
        <v>12473.08</v>
      </c>
      <c r="M11" s="68">
        <f t="shared" si="3"/>
        <v>22943133.028960001</v>
      </c>
      <c r="N11" s="68">
        <f t="shared" si="4"/>
        <v>35226</v>
      </c>
      <c r="O11" s="72">
        <f t="shared" si="5"/>
        <v>91294818.425320014</v>
      </c>
    </row>
    <row r="12" spans="1:15" ht="21" customHeight="1" x14ac:dyDescent="0.2">
      <c r="A12" s="6" t="s">
        <v>11</v>
      </c>
      <c r="B12" s="68">
        <v>54787</v>
      </c>
      <c r="C12" s="68">
        <v>86434.25</v>
      </c>
      <c r="D12" s="68">
        <f t="shared" si="0"/>
        <v>158988196.66100001</v>
      </c>
      <c r="E12" s="68">
        <v>154</v>
      </c>
      <c r="F12" s="69">
        <v>180.91</v>
      </c>
      <c r="G12" s="68">
        <f t="shared" si="1"/>
        <v>332768.02492</v>
      </c>
      <c r="H12" s="68">
        <v>4435</v>
      </c>
      <c r="I12" s="69">
        <v>5488.32</v>
      </c>
      <c r="J12" s="68">
        <f t="shared" si="2"/>
        <v>10095281.66784</v>
      </c>
      <c r="K12" s="68">
        <v>14959</v>
      </c>
      <c r="L12" s="69">
        <v>17978.84</v>
      </c>
      <c r="M12" s="68">
        <f t="shared" si="3"/>
        <v>33070494.04208</v>
      </c>
      <c r="N12" s="68">
        <f t="shared" si="4"/>
        <v>74335</v>
      </c>
      <c r="O12" s="72">
        <f t="shared" si="5"/>
        <v>202486740.39583999</v>
      </c>
    </row>
    <row r="13" spans="1:15" ht="12" customHeight="1" x14ac:dyDescent="0.2">
      <c r="A13" s="6" t="s">
        <v>12</v>
      </c>
      <c r="B13" s="68">
        <v>11794</v>
      </c>
      <c r="C13" s="68">
        <v>25753.119999999999</v>
      </c>
      <c r="D13" s="68">
        <f t="shared" si="0"/>
        <v>47370597.965440005</v>
      </c>
      <c r="E13" s="68">
        <v>16</v>
      </c>
      <c r="F13" s="69">
        <v>17.7</v>
      </c>
      <c r="G13" s="68">
        <f t="shared" si="1"/>
        <v>32557.592399999998</v>
      </c>
      <c r="H13" s="68">
        <v>1559</v>
      </c>
      <c r="I13" s="69">
        <v>3179.63</v>
      </c>
      <c r="J13" s="68">
        <f t="shared" si="2"/>
        <v>5848649.5775600011</v>
      </c>
      <c r="K13" s="68">
        <v>7763</v>
      </c>
      <c r="L13" s="69">
        <v>10316.790000000001</v>
      </c>
      <c r="M13" s="68">
        <f t="shared" si="3"/>
        <v>18976827.327480003</v>
      </c>
      <c r="N13" s="68">
        <f t="shared" si="4"/>
        <v>21132</v>
      </c>
      <c r="O13" s="72">
        <f t="shared" si="5"/>
        <v>72228632.462880015</v>
      </c>
    </row>
    <row r="14" spans="1:15" ht="24.75" customHeight="1" x14ac:dyDescent="0.2">
      <c r="A14" s="6" t="s">
        <v>13</v>
      </c>
      <c r="B14" s="68">
        <v>32005</v>
      </c>
      <c r="C14" s="68">
        <v>39469.67</v>
      </c>
      <c r="D14" s="68">
        <f t="shared" si="0"/>
        <v>72600984.634039998</v>
      </c>
      <c r="E14" s="68">
        <v>171</v>
      </c>
      <c r="F14" s="69">
        <v>232.37</v>
      </c>
      <c r="G14" s="68">
        <f t="shared" si="1"/>
        <v>427424.16644000006</v>
      </c>
      <c r="H14" s="68">
        <v>6286</v>
      </c>
      <c r="I14" s="69">
        <v>5570.54</v>
      </c>
      <c r="J14" s="68">
        <f t="shared" si="2"/>
        <v>10246518.122480001</v>
      </c>
      <c r="K14" s="68">
        <v>30311</v>
      </c>
      <c r="L14" s="69">
        <v>24074.35</v>
      </c>
      <c r="M14" s="68">
        <f t="shared" si="3"/>
        <v>44282648.282200001</v>
      </c>
      <c r="N14" s="68">
        <f t="shared" si="4"/>
        <v>68773</v>
      </c>
      <c r="O14" s="72">
        <f t="shared" si="5"/>
        <v>127557575.20515999</v>
      </c>
    </row>
    <row r="15" spans="1:15" ht="12" customHeight="1" x14ac:dyDescent="0.2">
      <c r="A15" s="6" t="s">
        <v>14</v>
      </c>
      <c r="B15" s="68">
        <v>10260</v>
      </c>
      <c r="C15" s="68">
        <v>27546.82</v>
      </c>
      <c r="D15" s="68">
        <f t="shared" si="0"/>
        <v>50669951.269840002</v>
      </c>
      <c r="E15" s="68">
        <v>41</v>
      </c>
      <c r="F15" s="69">
        <v>121.39</v>
      </c>
      <c r="G15" s="68">
        <f t="shared" si="1"/>
        <v>223286.22268000004</v>
      </c>
      <c r="H15" s="68">
        <v>1898</v>
      </c>
      <c r="I15" s="69">
        <v>5720.36</v>
      </c>
      <c r="J15" s="68">
        <f t="shared" si="2"/>
        <v>10522098.82832</v>
      </c>
      <c r="K15" s="68">
        <v>2228</v>
      </c>
      <c r="L15" s="69">
        <v>4921.3999999999996</v>
      </c>
      <c r="M15" s="68">
        <f t="shared" si="3"/>
        <v>9052482.2168000005</v>
      </c>
      <c r="N15" s="68">
        <f t="shared" si="4"/>
        <v>14427</v>
      </c>
      <c r="O15" s="72">
        <f t="shared" si="5"/>
        <v>70467818.537640005</v>
      </c>
    </row>
    <row r="16" spans="1:15" ht="22.5" x14ac:dyDescent="0.2">
      <c r="A16" s="6" t="s">
        <v>15</v>
      </c>
      <c r="B16" s="68">
        <v>18409</v>
      </c>
      <c r="C16" s="68">
        <v>60814.53</v>
      </c>
      <c r="D16" s="68">
        <f t="shared" si="0"/>
        <v>111862976.25635999</v>
      </c>
      <c r="E16" s="68">
        <v>10</v>
      </c>
      <c r="F16" s="69">
        <v>19.100000000000001</v>
      </c>
      <c r="G16" s="68">
        <f t="shared" si="1"/>
        <v>35132.769200000002</v>
      </c>
      <c r="H16" s="68">
        <v>2389</v>
      </c>
      <c r="I16" s="69">
        <v>8225.65</v>
      </c>
      <c r="J16" s="68">
        <v>2508</v>
      </c>
      <c r="K16" s="68">
        <v>2508</v>
      </c>
      <c r="L16" s="69">
        <v>5903.53</v>
      </c>
      <c r="M16" s="68">
        <f t="shared" si="3"/>
        <v>10859023.924360001</v>
      </c>
      <c r="N16" s="68">
        <f t="shared" si="4"/>
        <v>23316</v>
      </c>
      <c r="O16" s="72">
        <f t="shared" si="5"/>
        <v>122759640.94992</v>
      </c>
    </row>
    <row r="17" spans="1:16" ht="12" customHeight="1" x14ac:dyDescent="0.2">
      <c r="A17" s="6" t="s">
        <v>16</v>
      </c>
      <c r="B17" s="68">
        <v>2481</v>
      </c>
      <c r="C17" s="68">
        <v>3825.19</v>
      </c>
      <c r="D17" s="68">
        <f t="shared" si="0"/>
        <v>7036100.3882800005</v>
      </c>
      <c r="E17" s="68">
        <v>1</v>
      </c>
      <c r="F17" s="69">
        <v>2.62</v>
      </c>
      <c r="G17" s="68">
        <f t="shared" si="1"/>
        <v>4819.2594400000007</v>
      </c>
      <c r="H17" s="68">
        <v>272</v>
      </c>
      <c r="I17" s="69">
        <v>453.11</v>
      </c>
      <c r="J17" s="68">
        <f t="shared" ref="J17:J28" si="6">I17*9106*0.202</f>
        <v>833455.97132000013</v>
      </c>
      <c r="K17" s="68">
        <v>923</v>
      </c>
      <c r="L17" s="69">
        <v>1201.6400000000001</v>
      </c>
      <c r="M17" s="68">
        <f t="shared" si="3"/>
        <v>2210311.0356800007</v>
      </c>
      <c r="N17" s="68">
        <f t="shared" si="4"/>
        <v>3677</v>
      </c>
      <c r="O17" s="72">
        <f t="shared" si="5"/>
        <v>10084686.654720001</v>
      </c>
    </row>
    <row r="18" spans="1:16" ht="27" customHeight="1" x14ac:dyDescent="0.2">
      <c r="A18" s="6" t="s">
        <v>17</v>
      </c>
      <c r="B18" s="68">
        <v>23395</v>
      </c>
      <c r="C18" s="68">
        <v>53661.24</v>
      </c>
      <c r="D18" s="68">
        <f t="shared" si="0"/>
        <v>98705128.79088001</v>
      </c>
      <c r="E18" s="68">
        <v>49</v>
      </c>
      <c r="F18" s="69">
        <v>79.27</v>
      </c>
      <c r="G18" s="68">
        <f t="shared" si="1"/>
        <v>145810.18924000001</v>
      </c>
      <c r="H18" s="68">
        <v>2365</v>
      </c>
      <c r="I18" s="69">
        <v>6683.85</v>
      </c>
      <c r="J18" s="68">
        <f t="shared" si="6"/>
        <v>12294353.896200001</v>
      </c>
      <c r="K18" s="68">
        <v>4614</v>
      </c>
      <c r="L18" s="69">
        <v>8705.24</v>
      </c>
      <c r="M18" s="68">
        <f t="shared" si="3"/>
        <v>16012522.918880001</v>
      </c>
      <c r="N18" s="68">
        <f t="shared" si="4"/>
        <v>30423</v>
      </c>
      <c r="O18" s="72">
        <f t="shared" si="5"/>
        <v>127157815.79520001</v>
      </c>
    </row>
    <row r="19" spans="1:16" ht="12" customHeight="1" x14ac:dyDescent="0.2">
      <c r="A19" s="6" t="s">
        <v>18</v>
      </c>
      <c r="B19" s="68">
        <v>7234</v>
      </c>
      <c r="C19" s="68">
        <v>11870.09</v>
      </c>
      <c r="D19" s="68">
        <f t="shared" si="0"/>
        <v>21833985.987080004</v>
      </c>
      <c r="E19" s="68">
        <v>18</v>
      </c>
      <c r="F19" s="69">
        <v>25.66</v>
      </c>
      <c r="G19" s="68">
        <f t="shared" si="1"/>
        <v>47199.31192</v>
      </c>
      <c r="H19" s="68">
        <v>1140</v>
      </c>
      <c r="I19" s="69">
        <v>1809.87</v>
      </c>
      <c r="J19" s="68">
        <f t="shared" si="6"/>
        <v>3329096.59644</v>
      </c>
      <c r="K19" s="68">
        <v>4339</v>
      </c>
      <c r="L19" s="69">
        <v>5315.01</v>
      </c>
      <c r="M19" s="68">
        <f t="shared" si="3"/>
        <v>9776493.1741200015</v>
      </c>
      <c r="N19" s="68">
        <f t="shared" si="4"/>
        <v>12731</v>
      </c>
      <c r="O19" s="72">
        <f t="shared" si="5"/>
        <v>34986775.069560006</v>
      </c>
    </row>
    <row r="20" spans="1:16" ht="21.75" customHeight="1" x14ac:dyDescent="0.2">
      <c r="A20" s="6" t="s">
        <v>19</v>
      </c>
      <c r="B20" s="68">
        <v>7858</v>
      </c>
      <c r="C20" s="68">
        <v>18047.64</v>
      </c>
      <c r="D20" s="68">
        <f t="shared" si="0"/>
        <v>33197045.587680005</v>
      </c>
      <c r="E20" s="68">
        <v>58</v>
      </c>
      <c r="F20" s="69">
        <v>171.33</v>
      </c>
      <c r="G20" s="68">
        <f t="shared" si="1"/>
        <v>315146.45796000009</v>
      </c>
      <c r="H20" s="68">
        <v>33</v>
      </c>
      <c r="I20" s="69">
        <v>59.17</v>
      </c>
      <c r="J20" s="68">
        <f t="shared" si="6"/>
        <v>108838.00804000002</v>
      </c>
      <c r="K20" s="68">
        <v>156</v>
      </c>
      <c r="L20" s="69">
        <v>304.99</v>
      </c>
      <c r="M20" s="68">
        <f t="shared" si="3"/>
        <v>561002.26588000008</v>
      </c>
      <c r="N20" s="68">
        <f t="shared" si="4"/>
        <v>8105</v>
      </c>
      <c r="O20" s="72">
        <f t="shared" si="5"/>
        <v>34182032.319560006</v>
      </c>
    </row>
    <row r="21" spans="1:16" ht="12" customHeight="1" x14ac:dyDescent="0.2">
      <c r="A21" s="6" t="s">
        <v>20</v>
      </c>
      <c r="B21" s="73">
        <v>12469</v>
      </c>
      <c r="C21" s="73">
        <v>23159.66</v>
      </c>
      <c r="D21" s="68">
        <f t="shared" si="0"/>
        <v>42600156.519920006</v>
      </c>
      <c r="E21" s="73">
        <v>14</v>
      </c>
      <c r="F21" s="74">
        <v>24.39</v>
      </c>
      <c r="G21" s="68">
        <f t="shared" si="1"/>
        <v>44863.258679999999</v>
      </c>
      <c r="H21" s="73">
        <v>390</v>
      </c>
      <c r="I21" s="74">
        <v>713.72</v>
      </c>
      <c r="J21" s="68">
        <f t="shared" si="6"/>
        <v>1312825.1326400002</v>
      </c>
      <c r="K21" s="73">
        <v>2038</v>
      </c>
      <c r="L21" s="74">
        <v>3583.58</v>
      </c>
      <c r="M21" s="68">
        <f t="shared" si="3"/>
        <v>6591680.0549600003</v>
      </c>
      <c r="N21" s="68">
        <f t="shared" si="4"/>
        <v>14911</v>
      </c>
      <c r="O21" s="72">
        <f t="shared" si="5"/>
        <v>50549524.966200002</v>
      </c>
    </row>
    <row r="22" spans="1:16" ht="27" customHeight="1" x14ac:dyDescent="0.2">
      <c r="A22" s="6" t="s">
        <v>21</v>
      </c>
      <c r="B22" s="75">
        <v>7458</v>
      </c>
      <c r="C22" s="75">
        <v>13040.53</v>
      </c>
      <c r="D22" s="68">
        <f t="shared" si="0"/>
        <v>23986907.368360002</v>
      </c>
      <c r="E22" s="75">
        <v>4</v>
      </c>
      <c r="F22" s="69">
        <v>9.77</v>
      </c>
      <c r="G22" s="68">
        <f t="shared" si="1"/>
        <v>17971.055240000002</v>
      </c>
      <c r="H22" s="75">
        <v>383</v>
      </c>
      <c r="I22" s="69">
        <v>487.63</v>
      </c>
      <c r="J22" s="68">
        <f t="shared" si="6"/>
        <v>896952.47356000007</v>
      </c>
      <c r="K22" s="75">
        <v>1625</v>
      </c>
      <c r="L22" s="69">
        <v>2496.9899999999998</v>
      </c>
      <c r="M22" s="68">
        <f t="shared" si="3"/>
        <v>4592993.3698800001</v>
      </c>
      <c r="N22" s="68">
        <f t="shared" si="4"/>
        <v>9470</v>
      </c>
      <c r="O22" s="72">
        <f t="shared" si="5"/>
        <v>29494824.267040007</v>
      </c>
    </row>
    <row r="23" spans="1:16" ht="12" customHeight="1" x14ac:dyDescent="0.2">
      <c r="A23" s="10" t="s">
        <v>22</v>
      </c>
      <c r="B23" s="73">
        <v>4887</v>
      </c>
      <c r="C23" s="73">
        <v>6297.09</v>
      </c>
      <c r="D23" s="68">
        <f t="shared" si="0"/>
        <v>11582942.911080001</v>
      </c>
      <c r="E23" s="73">
        <v>3</v>
      </c>
      <c r="F23" s="74">
        <v>3.74</v>
      </c>
      <c r="G23" s="68">
        <f t="shared" si="1"/>
        <v>6879.4008800000011</v>
      </c>
      <c r="H23" s="73">
        <v>633</v>
      </c>
      <c r="I23" s="74">
        <v>715.36</v>
      </c>
      <c r="J23" s="68">
        <f t="shared" si="6"/>
        <v>1315841.76832</v>
      </c>
      <c r="K23" s="73">
        <v>2305</v>
      </c>
      <c r="L23" s="74">
        <v>2447.91</v>
      </c>
      <c r="M23" s="68">
        <f t="shared" si="3"/>
        <v>4502715.0289199995</v>
      </c>
      <c r="N23" s="68">
        <f t="shared" si="4"/>
        <v>7828</v>
      </c>
      <c r="O23" s="72">
        <f t="shared" si="5"/>
        <v>17408379.109200001</v>
      </c>
    </row>
    <row r="24" spans="1:16" ht="16.5" customHeight="1" x14ac:dyDescent="0.2">
      <c r="A24" s="10" t="s">
        <v>23</v>
      </c>
      <c r="B24" s="73">
        <v>7535</v>
      </c>
      <c r="C24" s="73">
        <v>11875.34</v>
      </c>
      <c r="D24" s="68">
        <f t="shared" si="0"/>
        <v>21843642.900080003</v>
      </c>
      <c r="E24" s="73">
        <v>31</v>
      </c>
      <c r="F24" s="74">
        <v>18.05</v>
      </c>
      <c r="G24" s="68">
        <f t="shared" si="1"/>
        <v>33201.386600000005</v>
      </c>
      <c r="H24" s="73">
        <v>642</v>
      </c>
      <c r="I24" s="74">
        <v>669.93</v>
      </c>
      <c r="J24" s="68">
        <f t="shared" si="6"/>
        <v>1232277.28116</v>
      </c>
      <c r="K24" s="73">
        <v>1964</v>
      </c>
      <c r="L24" s="74">
        <v>1888.1</v>
      </c>
      <c r="M24" s="68">
        <f t="shared" si="3"/>
        <v>3472993.7971999999</v>
      </c>
      <c r="N24" s="68">
        <f t="shared" si="4"/>
        <v>10172</v>
      </c>
      <c r="O24" s="72">
        <f t="shared" si="5"/>
        <v>26582115.365040004</v>
      </c>
    </row>
    <row r="25" spans="1:16" ht="48" customHeight="1" x14ac:dyDescent="0.2">
      <c r="A25" s="10" t="s">
        <v>24</v>
      </c>
      <c r="B25" s="75">
        <v>415</v>
      </c>
      <c r="C25" s="75">
        <v>299.98</v>
      </c>
      <c r="D25" s="68">
        <f t="shared" si="0"/>
        <v>551786.81176000007</v>
      </c>
      <c r="E25" s="75">
        <v>4</v>
      </c>
      <c r="F25" s="69">
        <v>2.08</v>
      </c>
      <c r="G25" s="68">
        <f t="shared" si="1"/>
        <v>3825.97696</v>
      </c>
      <c r="H25" s="75">
        <v>25873</v>
      </c>
      <c r="I25" s="69">
        <v>13228.74</v>
      </c>
      <c r="J25" s="68">
        <f t="shared" si="6"/>
        <v>24333103.100880001</v>
      </c>
      <c r="K25" s="75">
        <v>382</v>
      </c>
      <c r="L25" s="69">
        <v>198.98</v>
      </c>
      <c r="M25" s="68">
        <f t="shared" si="3"/>
        <v>366006.19975999999</v>
      </c>
      <c r="N25" s="68">
        <f t="shared" si="4"/>
        <v>26674</v>
      </c>
      <c r="O25" s="72">
        <f t="shared" si="5"/>
        <v>25254722.089360002</v>
      </c>
    </row>
    <row r="26" spans="1:16" ht="22.5" x14ac:dyDescent="0.2">
      <c r="A26" s="10" t="s">
        <v>25</v>
      </c>
      <c r="B26" s="73">
        <v>319</v>
      </c>
      <c r="C26" s="73">
        <v>957.91</v>
      </c>
      <c r="D26" s="68">
        <f t="shared" si="0"/>
        <v>1761991.1489199998</v>
      </c>
      <c r="E26" s="73">
        <v>34</v>
      </c>
      <c r="F26" s="74">
        <v>97.78</v>
      </c>
      <c r="G26" s="68">
        <f t="shared" si="1"/>
        <v>179857.70536000002</v>
      </c>
      <c r="H26" s="73">
        <v>71</v>
      </c>
      <c r="I26" s="74">
        <v>204.88</v>
      </c>
      <c r="J26" s="68">
        <f t="shared" si="6"/>
        <v>376858.73056000005</v>
      </c>
      <c r="K26" s="73">
        <v>79</v>
      </c>
      <c r="L26" s="74">
        <v>210.89</v>
      </c>
      <c r="M26" s="68">
        <f t="shared" si="3"/>
        <v>387913.59668000002</v>
      </c>
      <c r="N26" s="68">
        <f t="shared" si="4"/>
        <v>503</v>
      </c>
      <c r="O26" s="72">
        <f t="shared" si="5"/>
        <v>2706621.1815199996</v>
      </c>
    </row>
    <row r="27" spans="1:16" ht="12" customHeight="1" thickBot="1" x14ac:dyDescent="0.25">
      <c r="A27" s="11" t="s">
        <v>26</v>
      </c>
      <c r="B27" s="77">
        <v>38</v>
      </c>
      <c r="C27" s="77">
        <v>19.39</v>
      </c>
      <c r="D27" s="78">
        <f t="shared" si="0"/>
        <v>35666.198680000001</v>
      </c>
      <c r="E27" s="77">
        <v>0</v>
      </c>
      <c r="F27" s="79">
        <v>0</v>
      </c>
      <c r="G27" s="78">
        <f t="shared" si="1"/>
        <v>0</v>
      </c>
      <c r="H27" s="77">
        <v>235</v>
      </c>
      <c r="I27" s="79">
        <v>72.84</v>
      </c>
      <c r="J27" s="78">
        <f t="shared" si="6"/>
        <v>133982.77008000002</v>
      </c>
      <c r="K27" s="77">
        <v>203</v>
      </c>
      <c r="L27" s="79">
        <v>78.25</v>
      </c>
      <c r="M27" s="78">
        <f t="shared" si="3"/>
        <v>143933.989</v>
      </c>
      <c r="N27" s="78">
        <f t="shared" si="4"/>
        <v>476</v>
      </c>
      <c r="O27" s="80">
        <f t="shared" si="5"/>
        <v>313582.95776000002</v>
      </c>
    </row>
    <row r="28" spans="1:16" ht="12" customHeight="1" thickBot="1" x14ac:dyDescent="0.25">
      <c r="A28" s="14" t="s">
        <v>27</v>
      </c>
      <c r="B28" s="81">
        <f>SUM(B6:B27)</f>
        <v>250039</v>
      </c>
      <c r="C28" s="82">
        <f>SUM(C6:C27)</f>
        <v>474202.45000000007</v>
      </c>
      <c r="D28" s="83">
        <f t="shared" si="0"/>
        <v>872253676.95940018</v>
      </c>
      <c r="E28" s="81">
        <f t="shared" ref="E28:L28" si="7">SUM(E6:E27)</f>
        <v>1466</v>
      </c>
      <c r="F28" s="82">
        <f t="shared" si="7"/>
        <v>1901.0900000000001</v>
      </c>
      <c r="G28" s="83">
        <f t="shared" si="1"/>
        <v>3496887.7590800007</v>
      </c>
      <c r="H28" s="81">
        <f t="shared" si="7"/>
        <v>60528</v>
      </c>
      <c r="I28" s="82">
        <f t="shared" si="7"/>
        <v>61528.369999999995</v>
      </c>
      <c r="J28" s="83">
        <f t="shared" si="6"/>
        <v>113176022.11843999</v>
      </c>
      <c r="K28" s="81">
        <f t="shared" si="7"/>
        <v>101592</v>
      </c>
      <c r="L28" s="82">
        <f t="shared" si="7"/>
        <v>118097.84000000001</v>
      </c>
      <c r="M28" s="83">
        <f t="shared" si="3"/>
        <v>217230584.07008004</v>
      </c>
      <c r="N28" s="81">
        <f>SUM(N6:N27)</f>
        <v>413625</v>
      </c>
      <c r="O28" s="84">
        <f>D28+G28+J28+M28</f>
        <v>1206157170.9070003</v>
      </c>
      <c r="P28" s="137"/>
    </row>
    <row r="29" spans="1:16" x14ac:dyDescent="0.2">
      <c r="A29" s="91" t="s">
        <v>30</v>
      </c>
      <c r="B29" s="91"/>
      <c r="C29" s="91"/>
      <c r="D29" s="91"/>
      <c r="E29" s="91"/>
      <c r="F29" s="91"/>
      <c r="G29" s="91"/>
      <c r="H29" s="91"/>
      <c r="I29" s="91"/>
      <c r="J29" s="91"/>
      <c r="K29" s="91"/>
      <c r="L29" s="91"/>
      <c r="M29" s="91"/>
      <c r="N29" s="91"/>
      <c r="O29" s="91"/>
      <c r="P29" s="137"/>
    </row>
    <row r="30" spans="1:16" x14ac:dyDescent="0.2">
      <c r="A30" s="92" t="s">
        <v>31</v>
      </c>
      <c r="B30" s="92"/>
      <c r="C30" s="92"/>
      <c r="D30" s="92"/>
      <c r="E30" s="92"/>
      <c r="F30" s="92"/>
      <c r="G30" s="92"/>
      <c r="H30" s="92"/>
      <c r="I30" s="92"/>
      <c r="J30" s="92"/>
      <c r="K30" s="92"/>
      <c r="L30" s="92"/>
      <c r="M30" s="92"/>
      <c r="N30" s="92"/>
      <c r="O30" s="92"/>
    </row>
    <row r="31" spans="1:16" ht="13.5" x14ac:dyDescent="0.2">
      <c r="A31" s="23" t="s">
        <v>59</v>
      </c>
    </row>
    <row r="32" spans="1:16" ht="13.5" x14ac:dyDescent="0.2">
      <c r="A32" s="23" t="s">
        <v>38</v>
      </c>
    </row>
    <row r="33" spans="1:15" x14ac:dyDescent="0.2">
      <c r="A33" s="15" t="s">
        <v>67</v>
      </c>
      <c r="K33" s="86"/>
      <c r="L33" s="86"/>
      <c r="M33" s="87" t="s">
        <v>33</v>
      </c>
      <c r="N33" s="86"/>
      <c r="O33" s="86"/>
    </row>
    <row r="34" spans="1:15" x14ac:dyDescent="0.2">
      <c r="A34" s="22">
        <v>43658</v>
      </c>
      <c r="K34" s="86"/>
      <c r="L34" s="86"/>
      <c r="M34" s="87" t="s">
        <v>34</v>
      </c>
      <c r="N34" s="86"/>
      <c r="O34" s="86"/>
    </row>
    <row r="40" spans="1:15" x14ac:dyDescent="0.2">
      <c r="G40" s="88"/>
    </row>
  </sheetData>
  <mergeCells count="11">
    <mergeCell ref="A29:O29"/>
    <mergeCell ref="A30:O30"/>
    <mergeCell ref="A1:O1"/>
    <mergeCell ref="B2:O2"/>
    <mergeCell ref="A3:A5"/>
    <mergeCell ref="B3:O3"/>
    <mergeCell ref="B4:D4"/>
    <mergeCell ref="E4:G4"/>
    <mergeCell ref="H4:J4"/>
    <mergeCell ref="K4:M4"/>
    <mergeCell ref="N4:O4"/>
  </mergeCells>
  <pageMargins left="0.7" right="0.7" top="0.75" bottom="0.75" header="0.3" footer="0.3"/>
  <pageSetup paperSize="9"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workbookViewId="0">
      <selection activeCell="A3" sqref="A3:A5"/>
    </sheetView>
  </sheetViews>
  <sheetFormatPr defaultRowHeight="12.75" x14ac:dyDescent="0.2"/>
  <cols>
    <col min="1" max="1" width="41.85546875" customWidth="1"/>
    <col min="3" max="3" width="9.140625" hidden="1" customWidth="1"/>
    <col min="4" max="4" width="9.85546875" customWidth="1"/>
    <col min="6" max="6" width="9.140625" hidden="1" customWidth="1"/>
    <col min="9" max="9" width="9.140625" hidden="1" customWidth="1"/>
    <col min="12" max="12" width="9.140625" hidden="1" customWidth="1"/>
    <col min="13" max="13" width="9.5703125" customWidth="1"/>
    <col min="15" max="15" width="9.28515625" customWidth="1"/>
  </cols>
  <sheetData>
    <row r="1" spans="1:15" ht="36" customHeight="1" thickBot="1" x14ac:dyDescent="0.25">
      <c r="A1" s="93" t="s">
        <v>46</v>
      </c>
      <c r="B1" s="93"/>
      <c r="C1" s="93"/>
      <c r="D1" s="93"/>
      <c r="E1" s="93"/>
      <c r="F1" s="93"/>
      <c r="G1" s="93"/>
      <c r="H1" s="93"/>
      <c r="I1" s="93"/>
      <c r="J1" s="93"/>
      <c r="K1" s="93"/>
      <c r="L1" s="93"/>
      <c r="M1" s="93"/>
      <c r="N1" s="93"/>
      <c r="O1" s="93"/>
    </row>
    <row r="2" spans="1:15" x14ac:dyDescent="0.2">
      <c r="A2" s="2" t="s">
        <v>4</v>
      </c>
      <c r="B2" s="94">
        <v>2008</v>
      </c>
      <c r="C2" s="95"/>
      <c r="D2" s="95"/>
      <c r="E2" s="95"/>
      <c r="F2" s="95"/>
      <c r="G2" s="95"/>
      <c r="H2" s="95"/>
      <c r="I2" s="95"/>
      <c r="J2" s="95"/>
      <c r="K2" s="95"/>
      <c r="L2" s="95"/>
      <c r="M2" s="95"/>
      <c r="N2" s="95"/>
      <c r="O2" s="96"/>
    </row>
    <row r="3" spans="1:15" x14ac:dyDescent="0.2">
      <c r="A3" s="97" t="s">
        <v>40</v>
      </c>
      <c r="B3" s="104" t="s">
        <v>1</v>
      </c>
      <c r="C3" s="105"/>
      <c r="D3" s="105"/>
      <c r="E3" s="105"/>
      <c r="F3" s="105"/>
      <c r="G3" s="105"/>
      <c r="H3" s="105"/>
      <c r="I3" s="105"/>
      <c r="J3" s="105"/>
      <c r="K3" s="105"/>
      <c r="L3" s="105"/>
      <c r="M3" s="105"/>
      <c r="N3" s="105"/>
      <c r="O3" s="106"/>
    </row>
    <row r="4" spans="1:15" ht="23.25" customHeight="1" x14ac:dyDescent="0.2">
      <c r="A4" s="98"/>
      <c r="B4" s="103" t="s">
        <v>0</v>
      </c>
      <c r="C4" s="103"/>
      <c r="D4" s="89"/>
      <c r="E4" s="89" t="s">
        <v>3</v>
      </c>
      <c r="F4" s="89"/>
      <c r="G4" s="89"/>
      <c r="H4" s="89" t="s">
        <v>28</v>
      </c>
      <c r="I4" s="89"/>
      <c r="J4" s="89"/>
      <c r="K4" s="89" t="s">
        <v>29</v>
      </c>
      <c r="L4" s="89"/>
      <c r="M4" s="89"/>
      <c r="N4" s="89" t="s">
        <v>39</v>
      </c>
      <c r="O4" s="90"/>
    </row>
    <row r="5" spans="1:15" ht="36" customHeight="1" x14ac:dyDescent="0.2">
      <c r="A5" s="99"/>
      <c r="B5" s="3" t="s">
        <v>2</v>
      </c>
      <c r="C5" s="3"/>
      <c r="D5" s="4" t="s">
        <v>32</v>
      </c>
      <c r="E5" s="4" t="s">
        <v>2</v>
      </c>
      <c r="F5" s="4"/>
      <c r="G5" s="4" t="s">
        <v>32</v>
      </c>
      <c r="H5" s="4" t="s">
        <v>2</v>
      </c>
      <c r="I5" s="4"/>
      <c r="J5" s="4" t="s">
        <v>32</v>
      </c>
      <c r="K5" s="4" t="s">
        <v>2</v>
      </c>
      <c r="L5" s="4"/>
      <c r="M5" s="4" t="s">
        <v>32</v>
      </c>
      <c r="N5" s="4" t="s">
        <v>2</v>
      </c>
      <c r="O5" s="5" t="s">
        <v>32</v>
      </c>
    </row>
    <row r="6" spans="1:15" ht="12" customHeight="1" x14ac:dyDescent="0.2">
      <c r="A6" s="6" t="s">
        <v>5</v>
      </c>
      <c r="B6" s="7">
        <v>1965</v>
      </c>
      <c r="C6" s="7">
        <v>3341.61</v>
      </c>
      <c r="D6" s="7">
        <f>C6*8012*0.166</f>
        <v>4444314.5671200007</v>
      </c>
      <c r="E6" s="7">
        <v>11</v>
      </c>
      <c r="F6" s="7">
        <v>10.75</v>
      </c>
      <c r="G6" s="7">
        <f>F6*8012*0.166</f>
        <v>14297.414000000001</v>
      </c>
      <c r="H6" s="7">
        <v>6040</v>
      </c>
      <c r="I6" s="7">
        <v>2391.67</v>
      </c>
      <c r="J6" s="7">
        <f>I6*8012*0.166</f>
        <v>3180901.9666400002</v>
      </c>
      <c r="K6" s="7">
        <v>873</v>
      </c>
      <c r="L6" s="7">
        <v>535.28</v>
      </c>
      <c r="M6" s="7">
        <f>L6*8012*0.166</f>
        <v>711918.11775999994</v>
      </c>
      <c r="N6" s="7">
        <f>B6+E6+H6+K6</f>
        <v>8889</v>
      </c>
      <c r="O6" s="26">
        <f>D6+G6+J6+M6</f>
        <v>8351432.0655200006</v>
      </c>
    </row>
    <row r="7" spans="1:15" ht="12" customHeight="1" x14ac:dyDescent="0.2">
      <c r="A7" s="6" t="s">
        <v>6</v>
      </c>
      <c r="B7" s="7">
        <v>705</v>
      </c>
      <c r="C7" s="7">
        <v>2212.61</v>
      </c>
      <c r="D7" s="7">
        <f t="shared" ref="D7:D27" si="0">C7*8012*0.166</f>
        <v>2942753.5991200004</v>
      </c>
      <c r="E7" s="7">
        <v>20</v>
      </c>
      <c r="F7" s="7">
        <v>45.16</v>
      </c>
      <c r="G7" s="7">
        <f t="shared" ref="G7:G27" si="1">F7*8012*0.166</f>
        <v>60062.438719999998</v>
      </c>
      <c r="H7" s="7">
        <v>53</v>
      </c>
      <c r="I7" s="7">
        <v>106.49</v>
      </c>
      <c r="J7" s="7">
        <f t="shared" ref="J7:J27" si="2">I7*8012*0.166</f>
        <v>141630.84808</v>
      </c>
      <c r="K7" s="7">
        <v>128</v>
      </c>
      <c r="L7" s="7">
        <v>170.22</v>
      </c>
      <c r="M7" s="7">
        <f t="shared" ref="M7:M27" si="3">L7*8012*0.166</f>
        <v>226391.23824000001</v>
      </c>
      <c r="N7" s="7">
        <f>B7+E7+H7+K7</f>
        <v>906</v>
      </c>
      <c r="O7" s="26">
        <f>D7+G7+J7+M7</f>
        <v>3370838.1241600001</v>
      </c>
    </row>
    <row r="8" spans="1:15" ht="12" customHeight="1" x14ac:dyDescent="0.2">
      <c r="A8" s="6" t="s">
        <v>7</v>
      </c>
      <c r="B8" s="7">
        <v>27201</v>
      </c>
      <c r="C8" s="7">
        <v>56112.01</v>
      </c>
      <c r="D8" s="7">
        <f t="shared" si="0"/>
        <v>74628524.40392001</v>
      </c>
      <c r="E8" s="7">
        <v>328</v>
      </c>
      <c r="F8" s="7">
        <v>458.11</v>
      </c>
      <c r="G8" s="7">
        <f t="shared" si="1"/>
        <v>609282.63512000011</v>
      </c>
      <c r="H8" s="7">
        <v>4358</v>
      </c>
      <c r="I8" s="7">
        <v>5798.69</v>
      </c>
      <c r="J8" s="7">
        <f t="shared" si="2"/>
        <v>7712211.3104799995</v>
      </c>
      <c r="K8" s="7">
        <v>7377</v>
      </c>
      <c r="L8" s="7">
        <v>7123.28</v>
      </c>
      <c r="M8" s="7">
        <f t="shared" si="3"/>
        <v>9473905.4137600008</v>
      </c>
      <c r="N8" s="7">
        <f t="shared" ref="N8:N27" si="4">B8+E8+H8+K8</f>
        <v>39264</v>
      </c>
      <c r="O8" s="26">
        <f t="shared" ref="O8:O27" si="5">D8+G8+J8+M8</f>
        <v>92423923.763280019</v>
      </c>
    </row>
    <row r="9" spans="1:15" ht="12" customHeight="1" x14ac:dyDescent="0.2">
      <c r="A9" s="6" t="s">
        <v>8</v>
      </c>
      <c r="B9" s="7">
        <v>2447</v>
      </c>
      <c r="C9" s="7">
        <v>8768.83</v>
      </c>
      <c r="D9" s="7">
        <f t="shared" si="0"/>
        <v>11662473.749359999</v>
      </c>
      <c r="E9" s="7">
        <v>0</v>
      </c>
      <c r="F9" s="7">
        <v>0</v>
      </c>
      <c r="G9" s="7">
        <f t="shared" si="1"/>
        <v>0</v>
      </c>
      <c r="H9" s="7">
        <v>18</v>
      </c>
      <c r="I9" s="7">
        <v>40.78</v>
      </c>
      <c r="J9" s="7">
        <f t="shared" si="2"/>
        <v>54237.073759999999</v>
      </c>
      <c r="K9" s="7">
        <v>16</v>
      </c>
      <c r="L9" s="7">
        <v>33.799999999999997</v>
      </c>
      <c r="M9" s="7">
        <f t="shared" si="3"/>
        <v>44953.729599999999</v>
      </c>
      <c r="N9" s="7">
        <f t="shared" si="4"/>
        <v>2481</v>
      </c>
      <c r="O9" s="26">
        <f t="shared" si="5"/>
        <v>11761664.552719997</v>
      </c>
    </row>
    <row r="10" spans="1:15" ht="12" customHeight="1" x14ac:dyDescent="0.2">
      <c r="A10" s="6" t="s">
        <v>9</v>
      </c>
      <c r="B10" s="7">
        <v>856</v>
      </c>
      <c r="C10" s="7">
        <v>2270.62</v>
      </c>
      <c r="D10" s="7">
        <f t="shared" si="0"/>
        <v>3019906.4350399999</v>
      </c>
      <c r="E10" s="7">
        <v>0</v>
      </c>
      <c r="F10" s="7">
        <v>0</v>
      </c>
      <c r="G10" s="7">
        <f t="shared" si="1"/>
        <v>0</v>
      </c>
      <c r="H10" s="7">
        <v>118</v>
      </c>
      <c r="I10" s="7">
        <v>148.37</v>
      </c>
      <c r="J10" s="7">
        <f t="shared" si="2"/>
        <v>197330.91304000001</v>
      </c>
      <c r="K10" s="7">
        <v>227</v>
      </c>
      <c r="L10" s="7">
        <v>317.16000000000003</v>
      </c>
      <c r="M10" s="7">
        <f t="shared" si="3"/>
        <v>421820.26272000012</v>
      </c>
      <c r="N10" s="7">
        <f t="shared" si="4"/>
        <v>1201</v>
      </c>
      <c r="O10" s="26">
        <f t="shared" si="5"/>
        <v>3639057.6107999999</v>
      </c>
    </row>
    <row r="11" spans="1:15" ht="12" customHeight="1" x14ac:dyDescent="0.2">
      <c r="A11" s="6" t="s">
        <v>10</v>
      </c>
      <c r="B11" s="7">
        <v>26469</v>
      </c>
      <c r="C11" s="7">
        <v>56220.73</v>
      </c>
      <c r="D11" s="7">
        <f t="shared" si="0"/>
        <v>74773121.134160012</v>
      </c>
      <c r="E11" s="7">
        <v>2292</v>
      </c>
      <c r="F11" s="7">
        <v>3224.2</v>
      </c>
      <c r="G11" s="7">
        <f t="shared" si="1"/>
        <v>4288160.2063999996</v>
      </c>
      <c r="H11" s="7">
        <v>5618</v>
      </c>
      <c r="I11" s="7">
        <v>7921.33</v>
      </c>
      <c r="J11" s="7">
        <f t="shared" si="2"/>
        <v>10535305.52936</v>
      </c>
      <c r="K11" s="7">
        <v>14359</v>
      </c>
      <c r="L11" s="7">
        <v>14502.86</v>
      </c>
      <c r="M11" s="7">
        <f t="shared" si="3"/>
        <v>19288687.777120002</v>
      </c>
      <c r="N11" s="7">
        <f t="shared" si="4"/>
        <v>48738</v>
      </c>
      <c r="O11" s="26">
        <f t="shared" si="5"/>
        <v>108885274.64704001</v>
      </c>
    </row>
    <row r="12" spans="1:15" ht="20.25" customHeight="1" x14ac:dyDescent="0.2">
      <c r="A12" s="6" t="s">
        <v>11</v>
      </c>
      <c r="B12" s="7">
        <v>53264</v>
      </c>
      <c r="C12" s="7">
        <v>93549.440000000002</v>
      </c>
      <c r="D12" s="7">
        <f t="shared" si="0"/>
        <v>124420006.80448</v>
      </c>
      <c r="E12" s="7">
        <v>220</v>
      </c>
      <c r="F12" s="7">
        <v>282.45</v>
      </c>
      <c r="G12" s="7">
        <f t="shared" si="1"/>
        <v>375656.24040000001</v>
      </c>
      <c r="H12" s="7">
        <v>7463</v>
      </c>
      <c r="I12" s="7">
        <v>9911.6200000000008</v>
      </c>
      <c r="J12" s="7">
        <f t="shared" si="2"/>
        <v>13182375.307040002</v>
      </c>
      <c r="K12" s="7">
        <v>9502</v>
      </c>
      <c r="L12" s="7">
        <v>9730.57</v>
      </c>
      <c r="M12" s="7">
        <f t="shared" si="3"/>
        <v>12941580.25544</v>
      </c>
      <c r="N12" s="7">
        <f t="shared" si="4"/>
        <v>70449</v>
      </c>
      <c r="O12" s="26">
        <f t="shared" si="5"/>
        <v>150919618.60736001</v>
      </c>
    </row>
    <row r="13" spans="1:15" ht="12" customHeight="1" x14ac:dyDescent="0.2">
      <c r="A13" s="6" t="s">
        <v>12</v>
      </c>
      <c r="B13" s="7">
        <v>10662</v>
      </c>
      <c r="C13" s="7">
        <v>25814.06</v>
      </c>
      <c r="D13" s="7">
        <f t="shared" si="0"/>
        <v>34332493.287519999</v>
      </c>
      <c r="E13" s="7">
        <v>43</v>
      </c>
      <c r="F13" s="7">
        <v>55.95</v>
      </c>
      <c r="G13" s="7">
        <f t="shared" si="1"/>
        <v>74413.0524</v>
      </c>
      <c r="H13" s="7">
        <v>859</v>
      </c>
      <c r="I13" s="7">
        <v>1827.54</v>
      </c>
      <c r="J13" s="7">
        <f t="shared" si="2"/>
        <v>2430613.5796800004</v>
      </c>
      <c r="K13" s="7">
        <v>2909</v>
      </c>
      <c r="L13" s="7">
        <v>3836.85</v>
      </c>
      <c r="M13" s="7">
        <f t="shared" si="3"/>
        <v>5102979.8052000003</v>
      </c>
      <c r="N13" s="7">
        <f t="shared" si="4"/>
        <v>14473</v>
      </c>
      <c r="O13" s="26">
        <f t="shared" si="5"/>
        <v>41940499.724800006</v>
      </c>
    </row>
    <row r="14" spans="1:15" ht="12" customHeight="1" x14ac:dyDescent="0.2">
      <c r="A14" s="6" t="s">
        <v>13</v>
      </c>
      <c r="B14" s="7">
        <v>21167</v>
      </c>
      <c r="C14" s="7">
        <v>33196.660000000003</v>
      </c>
      <c r="D14" s="7">
        <f t="shared" si="0"/>
        <v>44151292.226720005</v>
      </c>
      <c r="E14" s="7">
        <v>167</v>
      </c>
      <c r="F14" s="7">
        <v>283.64999999999998</v>
      </c>
      <c r="G14" s="7">
        <f t="shared" si="1"/>
        <v>377252.23079999996</v>
      </c>
      <c r="H14" s="7">
        <v>9623</v>
      </c>
      <c r="I14" s="7">
        <v>7587.05</v>
      </c>
      <c r="J14" s="7">
        <f t="shared" si="2"/>
        <v>10090715.8036</v>
      </c>
      <c r="K14" s="7">
        <v>17863</v>
      </c>
      <c r="L14" s="7">
        <v>12457.33</v>
      </c>
      <c r="M14" s="7">
        <f t="shared" si="3"/>
        <v>16568149.241359999</v>
      </c>
      <c r="N14" s="7">
        <f t="shared" si="4"/>
        <v>48820</v>
      </c>
      <c r="O14" s="26">
        <f t="shared" si="5"/>
        <v>71187409.50248</v>
      </c>
    </row>
    <row r="15" spans="1:15" ht="12" customHeight="1" x14ac:dyDescent="0.2">
      <c r="A15" s="6" t="s">
        <v>14</v>
      </c>
      <c r="B15" s="7">
        <v>8564</v>
      </c>
      <c r="C15" s="7">
        <v>24825.03</v>
      </c>
      <c r="D15" s="7">
        <f t="shared" si="0"/>
        <v>33017091.299759999</v>
      </c>
      <c r="E15" s="7">
        <v>23</v>
      </c>
      <c r="F15" s="7">
        <v>59.29</v>
      </c>
      <c r="G15" s="7">
        <f t="shared" si="1"/>
        <v>78855.225680000003</v>
      </c>
      <c r="H15" s="7">
        <v>643</v>
      </c>
      <c r="I15" s="7">
        <v>1584.19</v>
      </c>
      <c r="J15" s="7">
        <f t="shared" si="2"/>
        <v>2106960.0264800005</v>
      </c>
      <c r="K15" s="7">
        <v>1066</v>
      </c>
      <c r="L15" s="7">
        <v>2261.7399999999998</v>
      </c>
      <c r="M15" s="7">
        <f t="shared" si="3"/>
        <v>3008096.1060799998</v>
      </c>
      <c r="N15" s="7">
        <f t="shared" si="4"/>
        <v>10296</v>
      </c>
      <c r="O15" s="26">
        <f t="shared" si="5"/>
        <v>38211002.658</v>
      </c>
    </row>
    <row r="16" spans="1:15" ht="12" customHeight="1" x14ac:dyDescent="0.2">
      <c r="A16" s="6" t="s">
        <v>15</v>
      </c>
      <c r="B16" s="7">
        <v>17023</v>
      </c>
      <c r="C16" s="7">
        <v>62563.21</v>
      </c>
      <c r="D16" s="7">
        <f t="shared" si="0"/>
        <v>83208568.794320002</v>
      </c>
      <c r="E16" s="7">
        <v>15</v>
      </c>
      <c r="F16" s="7">
        <v>21.63</v>
      </c>
      <c r="G16" s="7">
        <f t="shared" si="1"/>
        <v>28767.72696</v>
      </c>
      <c r="H16" s="7">
        <v>731</v>
      </c>
      <c r="I16" s="7">
        <v>2205.7399999999998</v>
      </c>
      <c r="J16" s="7">
        <f t="shared" si="2"/>
        <v>2933616.5540800001</v>
      </c>
      <c r="K16" s="7">
        <v>614</v>
      </c>
      <c r="L16" s="7">
        <v>1579.52</v>
      </c>
      <c r="M16" s="7">
        <f t="shared" si="3"/>
        <v>2100748.9638400003</v>
      </c>
      <c r="N16" s="7">
        <f t="shared" si="4"/>
        <v>18383</v>
      </c>
      <c r="O16" s="26">
        <f t="shared" si="5"/>
        <v>88271702.039200008</v>
      </c>
    </row>
    <row r="17" spans="1:15" ht="12" customHeight="1" x14ac:dyDescent="0.2">
      <c r="A17" s="6" t="s">
        <v>16</v>
      </c>
      <c r="B17" s="7">
        <v>1844</v>
      </c>
      <c r="C17" s="7">
        <v>3366.52</v>
      </c>
      <c r="D17" s="7">
        <f t="shared" si="0"/>
        <v>4477444.6678400002</v>
      </c>
      <c r="E17" s="7">
        <v>12</v>
      </c>
      <c r="F17" s="7">
        <v>16.059999999999999</v>
      </c>
      <c r="G17" s="7">
        <f t="shared" si="1"/>
        <v>21359.67152</v>
      </c>
      <c r="H17" s="7">
        <v>228</v>
      </c>
      <c r="I17" s="7">
        <v>295.83999999999997</v>
      </c>
      <c r="J17" s="7">
        <f t="shared" si="2"/>
        <v>393464.83327999996</v>
      </c>
      <c r="K17" s="7">
        <v>592</v>
      </c>
      <c r="L17" s="7">
        <v>803.14</v>
      </c>
      <c r="M17" s="7">
        <f t="shared" si="3"/>
        <v>1068169.7748799999</v>
      </c>
      <c r="N17" s="7">
        <f t="shared" si="4"/>
        <v>2676</v>
      </c>
      <c r="O17" s="26">
        <f t="shared" si="5"/>
        <v>5960438.9475200009</v>
      </c>
    </row>
    <row r="18" spans="1:15" ht="12" customHeight="1" x14ac:dyDescent="0.2">
      <c r="A18" s="6" t="s">
        <v>17</v>
      </c>
      <c r="B18" s="7">
        <v>14541</v>
      </c>
      <c r="C18" s="7">
        <v>32559.86</v>
      </c>
      <c r="D18" s="7">
        <f t="shared" si="0"/>
        <v>43304353.321120001</v>
      </c>
      <c r="E18" s="7">
        <v>30</v>
      </c>
      <c r="F18" s="7">
        <v>41.31</v>
      </c>
      <c r="G18" s="7">
        <f t="shared" si="1"/>
        <v>54941.969520000006</v>
      </c>
      <c r="H18" s="7">
        <v>1581</v>
      </c>
      <c r="I18" s="7">
        <v>3542.84</v>
      </c>
      <c r="J18" s="7">
        <f t="shared" si="2"/>
        <v>4711948.8572800001</v>
      </c>
      <c r="K18" s="7">
        <v>1894</v>
      </c>
      <c r="L18" s="7">
        <v>3019.94</v>
      </c>
      <c r="M18" s="7">
        <f t="shared" si="3"/>
        <v>4016496.0404800004</v>
      </c>
      <c r="N18" s="7">
        <f t="shared" si="4"/>
        <v>18046</v>
      </c>
      <c r="O18" s="26">
        <f t="shared" si="5"/>
        <v>52087740.188400008</v>
      </c>
    </row>
    <row r="19" spans="1:15" ht="12" customHeight="1" x14ac:dyDescent="0.2">
      <c r="A19" s="6" t="s">
        <v>18</v>
      </c>
      <c r="B19" s="7">
        <v>4472</v>
      </c>
      <c r="C19" s="7">
        <v>8026.47</v>
      </c>
      <c r="D19" s="7">
        <f t="shared" si="0"/>
        <v>10675140.88824</v>
      </c>
      <c r="E19" s="7">
        <v>19</v>
      </c>
      <c r="F19" s="7">
        <v>41.01</v>
      </c>
      <c r="G19" s="7">
        <f t="shared" si="1"/>
        <v>54542.971920000004</v>
      </c>
      <c r="H19" s="7">
        <v>1012</v>
      </c>
      <c r="I19" s="7">
        <v>1206.32</v>
      </c>
      <c r="J19" s="7">
        <f t="shared" si="2"/>
        <v>1604395.9494400001</v>
      </c>
      <c r="K19" s="7">
        <v>4638</v>
      </c>
      <c r="L19" s="7">
        <v>4237.04</v>
      </c>
      <c r="M19" s="7">
        <f t="shared" si="3"/>
        <v>5635229.3036799999</v>
      </c>
      <c r="N19" s="7">
        <f t="shared" si="4"/>
        <v>10141</v>
      </c>
      <c r="O19" s="26">
        <f t="shared" si="5"/>
        <v>17969309.113280002</v>
      </c>
    </row>
    <row r="20" spans="1:15" ht="12" customHeight="1" x14ac:dyDescent="0.2">
      <c r="A20" s="6" t="s">
        <v>19</v>
      </c>
      <c r="B20" s="7">
        <v>8280</v>
      </c>
      <c r="C20" s="7">
        <v>19867.09</v>
      </c>
      <c r="D20" s="7">
        <f t="shared" si="0"/>
        <v>26423070.763280004</v>
      </c>
      <c r="E20" s="7">
        <v>63</v>
      </c>
      <c r="F20" s="7">
        <v>194.67</v>
      </c>
      <c r="G20" s="7">
        <f t="shared" si="1"/>
        <v>258909.54263999997</v>
      </c>
      <c r="H20" s="7">
        <v>122</v>
      </c>
      <c r="I20" s="7">
        <v>225.61</v>
      </c>
      <c r="J20" s="7">
        <f t="shared" si="2"/>
        <v>300059.49512000004</v>
      </c>
      <c r="K20" s="7">
        <v>123</v>
      </c>
      <c r="L20" s="7">
        <v>223.18</v>
      </c>
      <c r="M20" s="7">
        <f t="shared" si="3"/>
        <v>296827.61456000002</v>
      </c>
      <c r="N20" s="7">
        <f t="shared" si="4"/>
        <v>8588</v>
      </c>
      <c r="O20" s="26">
        <f t="shared" si="5"/>
        <v>27278867.415600006</v>
      </c>
    </row>
    <row r="21" spans="1:15" ht="12" customHeight="1" x14ac:dyDescent="0.2">
      <c r="A21" s="6" t="s">
        <v>20</v>
      </c>
      <c r="B21" s="8">
        <v>8091</v>
      </c>
      <c r="C21" s="8">
        <v>15628.6</v>
      </c>
      <c r="D21" s="7">
        <f t="shared" si="0"/>
        <v>20785912.9712</v>
      </c>
      <c r="E21" s="8">
        <v>11</v>
      </c>
      <c r="F21" s="8">
        <v>9.1199999999999992</v>
      </c>
      <c r="G21" s="7">
        <f t="shared" si="1"/>
        <v>12129.527039999999</v>
      </c>
      <c r="H21" s="8">
        <v>590</v>
      </c>
      <c r="I21" s="8">
        <v>1322.07</v>
      </c>
      <c r="J21" s="7">
        <f t="shared" si="2"/>
        <v>1758342.5234400001</v>
      </c>
      <c r="K21" s="8">
        <v>912</v>
      </c>
      <c r="L21" s="8">
        <v>1789</v>
      </c>
      <c r="M21" s="7">
        <f t="shared" si="3"/>
        <v>2379355.6880000001</v>
      </c>
      <c r="N21" s="7">
        <f t="shared" si="4"/>
        <v>9604</v>
      </c>
      <c r="O21" s="26">
        <f t="shared" si="5"/>
        <v>24935740.709680002</v>
      </c>
    </row>
    <row r="22" spans="1:15" ht="12" customHeight="1" x14ac:dyDescent="0.2">
      <c r="A22" s="6" t="s">
        <v>21</v>
      </c>
      <c r="B22" s="16">
        <v>4217</v>
      </c>
      <c r="C22" s="16">
        <v>7326.73</v>
      </c>
      <c r="D22" s="7">
        <f t="shared" si="0"/>
        <v>9744492.2861599997</v>
      </c>
      <c r="E22" s="16">
        <v>5</v>
      </c>
      <c r="F22" s="16">
        <v>14.1</v>
      </c>
      <c r="G22" s="7">
        <f t="shared" si="1"/>
        <v>18752.887200000001</v>
      </c>
      <c r="H22" s="16">
        <v>1043</v>
      </c>
      <c r="I22" s="16">
        <v>1583.74</v>
      </c>
      <c r="J22" s="7">
        <f t="shared" si="2"/>
        <v>2106361.5300800004</v>
      </c>
      <c r="K22" s="16">
        <v>747</v>
      </c>
      <c r="L22" s="16">
        <v>1060.24</v>
      </c>
      <c r="M22" s="7">
        <f t="shared" si="3"/>
        <v>1410110.7180800003</v>
      </c>
      <c r="N22" s="7">
        <f t="shared" si="4"/>
        <v>6012</v>
      </c>
      <c r="O22" s="26">
        <f t="shared" si="5"/>
        <v>13279717.42152</v>
      </c>
    </row>
    <row r="23" spans="1:15" ht="12" customHeight="1" x14ac:dyDescent="0.2">
      <c r="A23" s="10" t="s">
        <v>22</v>
      </c>
      <c r="B23" s="8">
        <v>2525</v>
      </c>
      <c r="C23" s="8">
        <v>4042.35</v>
      </c>
      <c r="D23" s="7">
        <f t="shared" si="0"/>
        <v>5376293.1612</v>
      </c>
      <c r="E23" s="8">
        <v>8</v>
      </c>
      <c r="F23" s="8">
        <v>13.1</v>
      </c>
      <c r="G23" s="7">
        <f t="shared" si="1"/>
        <v>17422.895199999999</v>
      </c>
      <c r="H23" s="8">
        <v>735</v>
      </c>
      <c r="I23" s="8">
        <v>897.56</v>
      </c>
      <c r="J23" s="7">
        <f t="shared" si="2"/>
        <v>1193747.6195199999</v>
      </c>
      <c r="K23" s="8">
        <v>995</v>
      </c>
      <c r="L23" s="8">
        <v>795.58</v>
      </c>
      <c r="M23" s="7">
        <f t="shared" si="3"/>
        <v>1058115.0353600001</v>
      </c>
      <c r="N23" s="7">
        <f t="shared" si="4"/>
        <v>4263</v>
      </c>
      <c r="O23" s="26">
        <f t="shared" si="5"/>
        <v>7645578.7112800004</v>
      </c>
    </row>
    <row r="24" spans="1:15" ht="12" customHeight="1" x14ac:dyDescent="0.2">
      <c r="A24" s="10" t="s">
        <v>23</v>
      </c>
      <c r="B24" s="8">
        <v>6072</v>
      </c>
      <c r="C24" s="8">
        <v>10581.01</v>
      </c>
      <c r="D24" s="7">
        <f t="shared" si="0"/>
        <v>14072658.651920002</v>
      </c>
      <c r="E24" s="8">
        <v>24</v>
      </c>
      <c r="F24" s="8">
        <v>26.01</v>
      </c>
      <c r="G24" s="7">
        <f t="shared" si="1"/>
        <v>34593.091920000006</v>
      </c>
      <c r="H24" s="8">
        <v>681</v>
      </c>
      <c r="I24" s="8">
        <v>744.5</v>
      </c>
      <c r="J24" s="7">
        <f t="shared" si="2"/>
        <v>990179.04399999999</v>
      </c>
      <c r="K24" s="8">
        <v>1210</v>
      </c>
      <c r="L24" s="8">
        <v>1090.18</v>
      </c>
      <c r="M24" s="7">
        <f t="shared" si="3"/>
        <v>1449930.6785600001</v>
      </c>
      <c r="N24" s="7">
        <f t="shared" si="4"/>
        <v>7987</v>
      </c>
      <c r="O24" s="26">
        <f t="shared" si="5"/>
        <v>16547361.466400001</v>
      </c>
    </row>
    <row r="25" spans="1:15" ht="12" customHeight="1" x14ac:dyDescent="0.2">
      <c r="A25" s="10" t="s">
        <v>24</v>
      </c>
      <c r="B25" s="16">
        <v>303</v>
      </c>
      <c r="C25" s="16">
        <v>212.6</v>
      </c>
      <c r="D25" s="7">
        <f t="shared" si="0"/>
        <v>282756.29920000001</v>
      </c>
      <c r="E25" s="16">
        <v>2</v>
      </c>
      <c r="F25" s="16">
        <v>1.22</v>
      </c>
      <c r="G25" s="7">
        <f t="shared" si="1"/>
        <v>1622.59024</v>
      </c>
      <c r="H25" s="16">
        <v>25896</v>
      </c>
      <c r="I25" s="16">
        <v>12025.85</v>
      </c>
      <c r="J25" s="7">
        <f t="shared" si="2"/>
        <v>15994284.293200001</v>
      </c>
      <c r="K25" s="16">
        <v>390</v>
      </c>
      <c r="L25" s="16">
        <v>176.84</v>
      </c>
      <c r="M25" s="7">
        <f t="shared" si="3"/>
        <v>235195.78528000001</v>
      </c>
      <c r="N25" s="7">
        <f t="shared" si="4"/>
        <v>26591</v>
      </c>
      <c r="O25" s="26">
        <f t="shared" si="5"/>
        <v>16513858.967920002</v>
      </c>
    </row>
    <row r="26" spans="1:15" ht="12" customHeight="1" x14ac:dyDescent="0.2">
      <c r="A26" s="10" t="s">
        <v>25</v>
      </c>
      <c r="B26" s="8">
        <v>258</v>
      </c>
      <c r="C26" s="8">
        <v>815.9</v>
      </c>
      <c r="D26" s="7">
        <f t="shared" si="0"/>
        <v>1085140.4728000001</v>
      </c>
      <c r="E26" s="8">
        <v>53</v>
      </c>
      <c r="F26" s="8">
        <v>131.83000000000001</v>
      </c>
      <c r="G26" s="7">
        <f t="shared" si="1"/>
        <v>175332.84536000004</v>
      </c>
      <c r="H26" s="8">
        <v>70</v>
      </c>
      <c r="I26" s="8">
        <v>183.67</v>
      </c>
      <c r="J26" s="7">
        <f t="shared" si="2"/>
        <v>244279.63063999999</v>
      </c>
      <c r="K26" s="8">
        <v>51</v>
      </c>
      <c r="L26" s="8">
        <v>118.23</v>
      </c>
      <c r="M26" s="7">
        <f t="shared" si="3"/>
        <v>157244.95416000002</v>
      </c>
      <c r="N26" s="7">
        <f t="shared" si="4"/>
        <v>432</v>
      </c>
      <c r="O26" s="26">
        <f t="shared" si="5"/>
        <v>1661997.9029600003</v>
      </c>
    </row>
    <row r="27" spans="1:15" ht="13.5" thickBot="1" x14ac:dyDescent="0.25">
      <c r="A27" s="11" t="s">
        <v>26</v>
      </c>
      <c r="B27" s="12">
        <v>57</v>
      </c>
      <c r="C27" s="12">
        <v>37.299999999999997</v>
      </c>
      <c r="D27" s="7">
        <f t="shared" si="0"/>
        <v>49608.7016</v>
      </c>
      <c r="E27" s="12">
        <v>0</v>
      </c>
      <c r="F27" s="12">
        <v>0</v>
      </c>
      <c r="G27" s="7">
        <f t="shared" si="1"/>
        <v>0</v>
      </c>
      <c r="H27" s="12">
        <v>111</v>
      </c>
      <c r="I27" s="12">
        <v>45.4</v>
      </c>
      <c r="J27" s="7">
        <f t="shared" si="2"/>
        <v>60381.6368</v>
      </c>
      <c r="K27" s="12">
        <v>100</v>
      </c>
      <c r="L27" s="12">
        <v>38.630000000000003</v>
      </c>
      <c r="M27" s="7">
        <f t="shared" si="3"/>
        <v>51377.590960000001</v>
      </c>
      <c r="N27" s="33">
        <f t="shared" si="4"/>
        <v>268</v>
      </c>
      <c r="O27" s="47">
        <f t="shared" si="5"/>
        <v>161367.92936000001</v>
      </c>
    </row>
    <row r="28" spans="1:15" ht="13.5" thickBot="1" x14ac:dyDescent="0.25">
      <c r="A28" s="14" t="s">
        <v>27</v>
      </c>
      <c r="B28" s="25">
        <f>SUM(B6:B27)</f>
        <v>220983</v>
      </c>
      <c r="C28" s="46">
        <f>SUM(C6:C27)</f>
        <v>471339.23999999993</v>
      </c>
      <c r="D28" s="48">
        <f>SUM(D6:D27)</f>
        <v>626877418.48608005</v>
      </c>
      <c r="E28" s="25">
        <f t="shared" ref="E28:L28" si="6">SUM(E6:E27)</f>
        <v>3346</v>
      </c>
      <c r="F28" s="46">
        <f t="shared" si="6"/>
        <v>4929.6200000000017</v>
      </c>
      <c r="G28" s="25">
        <f t="shared" si="6"/>
        <v>6556355.1630399991</v>
      </c>
      <c r="H28" s="25">
        <f t="shared" si="6"/>
        <v>67593</v>
      </c>
      <c r="I28" s="46">
        <f t="shared" si="6"/>
        <v>61596.87</v>
      </c>
      <c r="J28" s="25">
        <f t="shared" si="6"/>
        <v>81923344.325040013</v>
      </c>
      <c r="K28" s="25">
        <f t="shared" si="6"/>
        <v>66586</v>
      </c>
      <c r="L28" s="25">
        <f t="shared" si="6"/>
        <v>65900.609999999986</v>
      </c>
      <c r="M28" s="48">
        <f>SUM(M6:M27)</f>
        <v>87647284.095119998</v>
      </c>
      <c r="N28" s="25">
        <f>SUM(N6:N27)</f>
        <v>358508</v>
      </c>
      <c r="O28" s="27">
        <f>SUM(O6:O27)</f>
        <v>803004402.06928015</v>
      </c>
    </row>
    <row r="29" spans="1:15" x14ac:dyDescent="0.2">
      <c r="A29" s="91" t="s">
        <v>30</v>
      </c>
      <c r="B29" s="91"/>
      <c r="C29" s="91"/>
      <c r="D29" s="91"/>
      <c r="E29" s="91"/>
      <c r="F29" s="91"/>
      <c r="G29" s="91"/>
      <c r="H29" s="91"/>
      <c r="I29" s="91"/>
      <c r="J29" s="91"/>
      <c r="K29" s="91"/>
      <c r="L29" s="91"/>
      <c r="M29" s="91"/>
      <c r="N29" s="91"/>
      <c r="O29" s="91"/>
    </row>
    <row r="30" spans="1:15" x14ac:dyDescent="0.2">
      <c r="A30" s="92" t="s">
        <v>31</v>
      </c>
      <c r="B30" s="92"/>
      <c r="C30" s="92"/>
      <c r="D30" s="92"/>
      <c r="E30" s="92"/>
      <c r="F30" s="92"/>
      <c r="G30" s="92"/>
      <c r="H30" s="92"/>
      <c r="I30" s="92"/>
      <c r="J30" s="92"/>
      <c r="K30" s="92"/>
      <c r="L30" s="92"/>
      <c r="M30" s="92"/>
      <c r="N30" s="92"/>
      <c r="O30" s="92"/>
    </row>
    <row r="31" spans="1:15" ht="13.5" x14ac:dyDescent="0.2">
      <c r="A31" s="23" t="s">
        <v>41</v>
      </c>
    </row>
    <row r="32" spans="1:15" ht="13.5" x14ac:dyDescent="0.2">
      <c r="A32" s="23" t="s">
        <v>38</v>
      </c>
    </row>
    <row r="33" spans="1:15" x14ac:dyDescent="0.2">
      <c r="A33" s="15" t="s">
        <v>43</v>
      </c>
      <c r="K33" s="1"/>
      <c r="L33" s="1"/>
      <c r="M33" s="24" t="s">
        <v>33</v>
      </c>
      <c r="N33" s="1"/>
      <c r="O33" s="1"/>
    </row>
    <row r="34" spans="1:15" x14ac:dyDescent="0.2">
      <c r="A34" s="22">
        <v>40891</v>
      </c>
      <c r="K34" s="1"/>
      <c r="L34" s="1"/>
      <c r="M34" s="24" t="s">
        <v>34</v>
      </c>
      <c r="N34" s="1"/>
      <c r="O34" s="1"/>
    </row>
  </sheetData>
  <mergeCells count="11">
    <mergeCell ref="A29:O29"/>
    <mergeCell ref="A30:O30"/>
    <mergeCell ref="A1:O1"/>
    <mergeCell ref="B2:O2"/>
    <mergeCell ref="A3:A5"/>
    <mergeCell ref="B3:O3"/>
    <mergeCell ref="B4:D4"/>
    <mergeCell ref="E4:G4"/>
    <mergeCell ref="H4:J4"/>
    <mergeCell ref="K4:M4"/>
    <mergeCell ref="N4:O4"/>
  </mergeCells>
  <pageMargins left="0" right="0"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topLeftCell="A28" workbookViewId="0">
      <selection activeCell="A30" sqref="A30:N30"/>
    </sheetView>
  </sheetViews>
  <sheetFormatPr defaultRowHeight="12.75" x14ac:dyDescent="0.2"/>
  <cols>
    <col min="1" max="1" width="41.85546875" customWidth="1"/>
    <col min="3" max="3" width="9.140625" hidden="1" customWidth="1"/>
    <col min="4" max="4" width="10.28515625" customWidth="1"/>
    <col min="5" max="5" width="9.7109375" customWidth="1"/>
    <col min="6" max="6" width="9.140625" hidden="1" customWidth="1"/>
    <col min="9" max="9" width="9.140625" hidden="1" customWidth="1"/>
    <col min="12" max="12" width="9.140625" hidden="1" customWidth="1"/>
    <col min="13" max="13" width="9.5703125" customWidth="1"/>
    <col min="15" max="15" width="14.7109375" customWidth="1"/>
    <col min="16" max="25" width="9.140625" hidden="1" customWidth="1"/>
  </cols>
  <sheetData>
    <row r="1" spans="1:25" ht="30" customHeight="1" thickBot="1" x14ac:dyDescent="0.25">
      <c r="A1" s="111" t="s">
        <v>47</v>
      </c>
      <c r="B1" s="111"/>
      <c r="C1" s="111"/>
      <c r="D1" s="111"/>
      <c r="E1" s="111"/>
      <c r="F1" s="111"/>
      <c r="G1" s="111"/>
      <c r="H1" s="111"/>
      <c r="I1" s="111"/>
      <c r="J1" s="111"/>
      <c r="K1" s="111"/>
      <c r="L1" s="111"/>
      <c r="M1" s="111"/>
      <c r="N1" s="111"/>
      <c r="O1" s="111"/>
      <c r="P1" s="66"/>
      <c r="Q1" s="66"/>
      <c r="R1" s="66"/>
      <c r="S1" s="66"/>
      <c r="T1" s="66"/>
      <c r="U1" s="66"/>
      <c r="V1" s="66"/>
      <c r="W1" s="66"/>
      <c r="X1" s="66"/>
      <c r="Y1" s="66"/>
    </row>
    <row r="2" spans="1:25" ht="17.25" customHeight="1" x14ac:dyDescent="0.2">
      <c r="A2" s="43" t="s">
        <v>4</v>
      </c>
      <c r="B2" s="113">
        <v>2009</v>
      </c>
      <c r="C2" s="114"/>
      <c r="D2" s="114"/>
      <c r="E2" s="114"/>
      <c r="F2" s="114"/>
      <c r="G2" s="114"/>
      <c r="H2" s="114"/>
      <c r="I2" s="114"/>
      <c r="J2" s="114"/>
      <c r="K2" s="114"/>
      <c r="L2" s="114"/>
      <c r="M2" s="114"/>
      <c r="N2" s="114"/>
      <c r="O2" s="115"/>
      <c r="P2" s="61"/>
      <c r="Q2" s="61"/>
      <c r="R2" s="61"/>
      <c r="S2" s="61"/>
      <c r="T2" s="61"/>
      <c r="U2" s="61"/>
      <c r="V2" s="61"/>
      <c r="W2" s="61"/>
      <c r="X2" s="61"/>
      <c r="Y2" s="62"/>
    </row>
    <row r="3" spans="1:25" ht="18.75" customHeight="1" x14ac:dyDescent="0.2">
      <c r="A3" s="98"/>
      <c r="B3" s="103" t="s">
        <v>0</v>
      </c>
      <c r="C3" s="103"/>
      <c r="D3" s="89"/>
      <c r="E3" s="89" t="s">
        <v>3</v>
      </c>
      <c r="F3" s="89"/>
      <c r="G3" s="89"/>
      <c r="H3" s="89" t="s">
        <v>28</v>
      </c>
      <c r="I3" s="89"/>
      <c r="J3" s="89"/>
      <c r="K3" s="89" t="s">
        <v>29</v>
      </c>
      <c r="L3" s="89"/>
      <c r="M3" s="116"/>
      <c r="N3" s="109" t="s">
        <v>37</v>
      </c>
      <c r="O3" s="110"/>
      <c r="P3" s="63" t="s">
        <v>2</v>
      </c>
      <c r="Q3" s="20"/>
      <c r="R3" s="117" t="s">
        <v>32</v>
      </c>
      <c r="S3" s="119" t="s">
        <v>35</v>
      </c>
      <c r="T3" s="119"/>
      <c r="U3" s="39" t="s">
        <v>2</v>
      </c>
      <c r="V3" s="30"/>
      <c r="W3" s="117" t="s">
        <v>32</v>
      </c>
      <c r="X3" s="107" t="s">
        <v>35</v>
      </c>
      <c r="Y3" s="108"/>
    </row>
    <row r="4" spans="1:25" ht="33" customHeight="1" x14ac:dyDescent="0.2">
      <c r="A4" s="99"/>
      <c r="B4" s="3" t="s">
        <v>2</v>
      </c>
      <c r="C4" s="3"/>
      <c r="D4" s="4" t="s">
        <v>32</v>
      </c>
      <c r="E4" s="4" t="s">
        <v>2</v>
      </c>
      <c r="F4" s="4"/>
      <c r="G4" s="4" t="s">
        <v>32</v>
      </c>
      <c r="H4" s="4" t="s">
        <v>2</v>
      </c>
      <c r="I4" s="4"/>
      <c r="J4" s="4" t="s">
        <v>32</v>
      </c>
      <c r="K4" s="4" t="s">
        <v>2</v>
      </c>
      <c r="L4" s="4"/>
      <c r="M4" s="38" t="s">
        <v>32</v>
      </c>
      <c r="N4" s="38" t="s">
        <v>2</v>
      </c>
      <c r="O4" s="5" t="s">
        <v>32</v>
      </c>
      <c r="P4" s="64"/>
      <c r="Q4" s="18"/>
      <c r="R4" s="118"/>
      <c r="S4" s="3" t="s">
        <v>2</v>
      </c>
      <c r="T4" s="38" t="s">
        <v>32</v>
      </c>
      <c r="U4" s="31"/>
      <c r="V4" s="18"/>
      <c r="W4" s="118"/>
      <c r="X4" s="3" t="s">
        <v>2</v>
      </c>
      <c r="Y4" s="5" t="s">
        <v>32</v>
      </c>
    </row>
    <row r="5" spans="1:25" ht="13.5" customHeight="1" x14ac:dyDescent="0.2">
      <c r="A5" s="6" t="s">
        <v>5</v>
      </c>
      <c r="B5" s="53">
        <v>1949</v>
      </c>
      <c r="C5" s="50">
        <v>3290.15</v>
      </c>
      <c r="D5" s="7">
        <f>C5*8435*(0.166+3*0.179)/4</f>
        <v>4877486.9801874999</v>
      </c>
      <c r="E5" s="53">
        <v>10</v>
      </c>
      <c r="F5" s="50">
        <v>11.26</v>
      </c>
      <c r="G5" s="7">
        <f>F5*8435*(0.166+3*0.179)/4</f>
        <v>16692.401074999998</v>
      </c>
      <c r="H5" s="53">
        <v>6280</v>
      </c>
      <c r="I5" s="50">
        <v>2786.9</v>
      </c>
      <c r="J5" s="7">
        <f>I5*8435*(0.166+3*0.179)/4</f>
        <v>4131443.3886249997</v>
      </c>
      <c r="K5" s="53">
        <v>866</v>
      </c>
      <c r="L5" s="50">
        <v>556.62</v>
      </c>
      <c r="M5" s="7">
        <f>L5*8435*(0.166+3*0.179)/4</f>
        <v>825162.01477499993</v>
      </c>
      <c r="N5" s="57">
        <f>B5+E5+H5+K5</f>
        <v>9105</v>
      </c>
      <c r="O5" s="65">
        <f>D5+G5+J5+M5</f>
        <v>9850784.7846625</v>
      </c>
      <c r="P5" s="41">
        <v>346</v>
      </c>
      <c r="Q5" s="67">
        <v>192</v>
      </c>
      <c r="R5" s="7">
        <f>Q5*8435*(0.166+3*0.179)/4</f>
        <v>284630.63999999996</v>
      </c>
      <c r="S5" s="29">
        <f>P5/N5</f>
        <v>3.8001098297638661E-2</v>
      </c>
      <c r="T5" s="29">
        <f>R5/O5</f>
        <v>2.8894209570303971E-2</v>
      </c>
      <c r="U5" s="40">
        <v>329</v>
      </c>
      <c r="V5" s="19">
        <v>187.97</v>
      </c>
      <c r="W5" s="7">
        <f>V5*8435*(0.166+3*0.179)/4</f>
        <v>278656.36146249995</v>
      </c>
      <c r="X5" s="29">
        <f>U5/N5</f>
        <v>3.6133992311916531E-2</v>
      </c>
      <c r="Y5" s="44">
        <f>W5/O5</f>
        <v>2.8287732150677279E-2</v>
      </c>
    </row>
    <row r="6" spans="1:25" ht="11.25" customHeight="1" x14ac:dyDescent="0.2">
      <c r="A6" s="6" t="s">
        <v>6</v>
      </c>
      <c r="B6" s="53">
        <v>685</v>
      </c>
      <c r="C6" s="50">
        <v>1962.16</v>
      </c>
      <c r="D6" s="7">
        <f t="shared" ref="D6:D26" si="0">C6*8435*(0.166+3*0.179)/4</f>
        <v>2908806.5447</v>
      </c>
      <c r="E6" s="53">
        <v>20</v>
      </c>
      <c r="F6" s="50">
        <v>44.16</v>
      </c>
      <c r="G6" s="7">
        <f t="shared" ref="G6:G26" si="1">F6*8435*(0.166+3*0.179)/4</f>
        <v>65465.047199999994</v>
      </c>
      <c r="H6" s="53">
        <v>58</v>
      </c>
      <c r="I6" s="50">
        <v>112.76</v>
      </c>
      <c r="J6" s="7">
        <f t="shared" ref="J6:J26" si="2">I6*8435*(0.166+3*0.179)/4</f>
        <v>167161.20295000001</v>
      </c>
      <c r="K6" s="53">
        <v>138</v>
      </c>
      <c r="L6" s="50">
        <v>223.73</v>
      </c>
      <c r="M6" s="7">
        <f t="shared" ref="M6:M26" si="3">L6*8435*(0.166+3*0.179)/4</f>
        <v>331668.81816249993</v>
      </c>
      <c r="N6" s="53">
        <f>B6+E6+H6+K6</f>
        <v>901</v>
      </c>
      <c r="O6" s="65">
        <f t="shared" ref="O6:O26" si="4">D6+G6+J6+M6</f>
        <v>3473101.6130124996</v>
      </c>
      <c r="P6" s="9">
        <v>45</v>
      </c>
      <c r="Q6" s="8">
        <v>40.44</v>
      </c>
      <c r="R6" s="7">
        <f t="shared" ref="R6:R26" si="5">Q6*8435*(0.166+3*0.179)/4</f>
        <v>59950.328549999991</v>
      </c>
      <c r="S6" s="29">
        <f t="shared" ref="S6:S27" si="6">P6/N6</f>
        <v>4.9944506104328525E-2</v>
      </c>
      <c r="T6" s="29">
        <f t="shared" ref="T6:T27" si="7">R6/O6</f>
        <v>1.7261322941254306E-2</v>
      </c>
      <c r="U6" s="8">
        <v>16</v>
      </c>
      <c r="V6" s="19">
        <v>18.100000000000001</v>
      </c>
      <c r="W6" s="7">
        <f t="shared" ref="W6:W26" si="8">V6*8435*(0.166+3*0.179)/4</f>
        <v>26832.367624999999</v>
      </c>
      <c r="X6" s="29">
        <f t="shared" ref="X6:X27" si="9">U6/N6</f>
        <v>1.7758046614872364E-2</v>
      </c>
      <c r="Y6" s="44">
        <f t="shared" ref="Y6:Y27" si="10">W6/O6</f>
        <v>7.7257652135683226E-3</v>
      </c>
    </row>
    <row r="7" spans="1:25" ht="11.25" customHeight="1" x14ac:dyDescent="0.2">
      <c r="A7" s="6" t="s">
        <v>7</v>
      </c>
      <c r="B7" s="53">
        <v>26312</v>
      </c>
      <c r="C7" s="50">
        <v>53281.94</v>
      </c>
      <c r="D7" s="7">
        <f t="shared" si="0"/>
        <v>78987878.555425003</v>
      </c>
      <c r="E7" s="53">
        <v>331</v>
      </c>
      <c r="F7" s="50">
        <v>441.51</v>
      </c>
      <c r="G7" s="7">
        <f t="shared" si="1"/>
        <v>654517.05138750002</v>
      </c>
      <c r="H7" s="53">
        <v>4308</v>
      </c>
      <c r="I7" s="50">
        <v>5927.15</v>
      </c>
      <c r="J7" s="7">
        <f t="shared" si="2"/>
        <v>8786710.926437499</v>
      </c>
      <c r="K7" s="53">
        <v>7894</v>
      </c>
      <c r="L7" s="50">
        <v>8210.73</v>
      </c>
      <c r="M7" s="7">
        <f t="shared" si="3"/>
        <v>12172006.951912498</v>
      </c>
      <c r="N7" s="53">
        <f t="shared" ref="N7:N26" si="11">B7+E7+H7+K7</f>
        <v>38845</v>
      </c>
      <c r="O7" s="65">
        <f t="shared" si="4"/>
        <v>100601113.4851625</v>
      </c>
      <c r="P7" s="9">
        <v>3236</v>
      </c>
      <c r="Q7" s="8">
        <v>2844.23</v>
      </c>
      <c r="R7" s="7">
        <f t="shared" si="5"/>
        <v>4216432.3187875003</v>
      </c>
      <c r="S7" s="29">
        <f t="shared" si="6"/>
        <v>8.3305444716179691E-2</v>
      </c>
      <c r="T7" s="29">
        <f t="shared" si="7"/>
        <v>4.1912382206479012E-2</v>
      </c>
      <c r="U7" s="9">
        <v>1904</v>
      </c>
      <c r="V7" s="19">
        <v>1775.08</v>
      </c>
      <c r="W7" s="7">
        <f t="shared" si="8"/>
        <v>2631469.5648499997</v>
      </c>
      <c r="X7" s="29">
        <f t="shared" si="9"/>
        <v>4.901531728665208E-2</v>
      </c>
      <c r="Y7" s="44">
        <f t="shared" si="10"/>
        <v>2.6157459631280435E-2</v>
      </c>
    </row>
    <row r="8" spans="1:25" ht="21" customHeight="1" x14ac:dyDescent="0.2">
      <c r="A8" s="6" t="s">
        <v>8</v>
      </c>
      <c r="B8" s="53">
        <v>2544</v>
      </c>
      <c r="C8" s="50">
        <v>8964.32</v>
      </c>
      <c r="D8" s="7">
        <f t="shared" si="0"/>
        <v>13289167.3894</v>
      </c>
      <c r="E8" s="53">
        <v>0</v>
      </c>
      <c r="F8" s="50">
        <v>0</v>
      </c>
      <c r="G8" s="7">
        <f t="shared" si="1"/>
        <v>0</v>
      </c>
      <c r="H8" s="53">
        <v>16</v>
      </c>
      <c r="I8" s="50">
        <v>35.770000000000003</v>
      </c>
      <c r="J8" s="7">
        <f t="shared" si="2"/>
        <v>53027.281212499998</v>
      </c>
      <c r="K8" s="53">
        <v>18</v>
      </c>
      <c r="L8" s="50">
        <v>38.200000000000003</v>
      </c>
      <c r="M8" s="7">
        <f t="shared" si="3"/>
        <v>56629.637749999994</v>
      </c>
      <c r="N8" s="53">
        <f t="shared" si="11"/>
        <v>2578</v>
      </c>
      <c r="O8" s="65">
        <f t="shared" si="4"/>
        <v>13398824.308362499</v>
      </c>
      <c r="P8" s="9">
        <v>0</v>
      </c>
      <c r="Q8" s="8">
        <v>0</v>
      </c>
      <c r="R8" s="7">
        <f t="shared" si="5"/>
        <v>0</v>
      </c>
      <c r="S8" s="29">
        <f t="shared" si="6"/>
        <v>0</v>
      </c>
      <c r="T8" s="29">
        <f t="shared" si="7"/>
        <v>0</v>
      </c>
      <c r="U8" s="9">
        <v>4</v>
      </c>
      <c r="V8" s="19">
        <v>3.45</v>
      </c>
      <c r="W8" s="7">
        <f t="shared" si="8"/>
        <v>5114.4568124999996</v>
      </c>
      <c r="X8" s="29">
        <f t="shared" si="9"/>
        <v>1.5515903801396431E-3</v>
      </c>
      <c r="Y8" s="44">
        <f t="shared" si="10"/>
        <v>3.8170937201616677E-4</v>
      </c>
    </row>
    <row r="9" spans="1:25" ht="24" customHeight="1" x14ac:dyDescent="0.2">
      <c r="A9" s="6" t="s">
        <v>9</v>
      </c>
      <c r="B9" s="53">
        <v>919</v>
      </c>
      <c r="C9" s="50">
        <v>2432.61</v>
      </c>
      <c r="D9" s="7">
        <f t="shared" si="0"/>
        <v>3606225.7352625001</v>
      </c>
      <c r="E9" s="53">
        <v>0</v>
      </c>
      <c r="F9" s="50">
        <v>0</v>
      </c>
      <c r="G9" s="7">
        <f t="shared" si="1"/>
        <v>0</v>
      </c>
      <c r="H9" s="53">
        <v>120</v>
      </c>
      <c r="I9" s="50">
        <v>169.96</v>
      </c>
      <c r="J9" s="7">
        <f t="shared" si="2"/>
        <v>251957.41445000001</v>
      </c>
      <c r="K9" s="53">
        <v>260</v>
      </c>
      <c r="L9" s="50">
        <v>394.1</v>
      </c>
      <c r="M9" s="7">
        <f t="shared" si="3"/>
        <v>584234.037625</v>
      </c>
      <c r="N9" s="53">
        <f t="shared" si="11"/>
        <v>1299</v>
      </c>
      <c r="O9" s="65">
        <f t="shared" si="4"/>
        <v>4442417.1873375</v>
      </c>
      <c r="P9" s="9">
        <v>96</v>
      </c>
      <c r="Q9" s="8">
        <v>119.42</v>
      </c>
      <c r="R9" s="7">
        <f t="shared" si="5"/>
        <v>177034.32827500001</v>
      </c>
      <c r="S9" s="29">
        <f t="shared" si="6"/>
        <v>7.3903002309468821E-2</v>
      </c>
      <c r="T9" s="29">
        <f t="shared" si="7"/>
        <v>3.9850901166961994E-2</v>
      </c>
      <c r="U9" s="9">
        <v>71</v>
      </c>
      <c r="V9" s="19">
        <v>78.77</v>
      </c>
      <c r="W9" s="7">
        <f t="shared" si="8"/>
        <v>116772.68496249999</v>
      </c>
      <c r="X9" s="29">
        <f t="shared" si="9"/>
        <v>5.4657428791377985E-2</v>
      </c>
      <c r="Y9" s="44">
        <f t="shared" si="10"/>
        <v>2.6285843953454999E-2</v>
      </c>
    </row>
    <row r="10" spans="1:25" ht="12" customHeight="1" x14ac:dyDescent="0.2">
      <c r="A10" s="6" t="s">
        <v>10</v>
      </c>
      <c r="B10" s="53">
        <v>25595</v>
      </c>
      <c r="C10" s="50">
        <v>52157.78</v>
      </c>
      <c r="D10" s="7">
        <f t="shared" si="0"/>
        <v>77321366.158225</v>
      </c>
      <c r="E10" s="53">
        <v>1996</v>
      </c>
      <c r="F10" s="50">
        <v>2575.23</v>
      </c>
      <c r="G10" s="7">
        <f t="shared" si="1"/>
        <v>3817652.9325374998</v>
      </c>
      <c r="H10" s="53">
        <v>5395</v>
      </c>
      <c r="I10" s="50">
        <v>6950.78</v>
      </c>
      <c r="J10" s="7">
        <f t="shared" si="2"/>
        <v>10304192.499474999</v>
      </c>
      <c r="K10" s="53">
        <v>13741</v>
      </c>
      <c r="L10" s="50">
        <v>13763.81</v>
      </c>
      <c r="M10" s="7">
        <f t="shared" si="3"/>
        <v>20404177.339262497</v>
      </c>
      <c r="N10" s="53">
        <f t="shared" si="11"/>
        <v>46727</v>
      </c>
      <c r="O10" s="65">
        <f t="shared" si="4"/>
        <v>111847388.9295</v>
      </c>
      <c r="P10" s="9">
        <v>5377</v>
      </c>
      <c r="Q10" s="8">
        <v>4117.17</v>
      </c>
      <c r="R10" s="7">
        <f t="shared" si="5"/>
        <v>6103503.8129625004</v>
      </c>
      <c r="S10" s="29">
        <f t="shared" si="6"/>
        <v>0.11507265606608599</v>
      </c>
      <c r="T10" s="29">
        <f t="shared" si="7"/>
        <v>5.4569926677588157E-2</v>
      </c>
      <c r="U10" s="9">
        <v>2281</v>
      </c>
      <c r="V10" s="19">
        <v>1899.55</v>
      </c>
      <c r="W10" s="7">
        <f t="shared" si="8"/>
        <v>2815990.2719374998</v>
      </c>
      <c r="X10" s="29">
        <f t="shared" si="9"/>
        <v>4.881546001241252E-2</v>
      </c>
      <c r="Y10" s="44">
        <f t="shared" si="10"/>
        <v>2.5177076540539391E-2</v>
      </c>
    </row>
    <row r="11" spans="1:25" ht="21" customHeight="1" x14ac:dyDescent="0.2">
      <c r="A11" s="6" t="s">
        <v>11</v>
      </c>
      <c r="B11" s="53">
        <v>52576</v>
      </c>
      <c r="C11" s="50">
        <v>91909.62</v>
      </c>
      <c r="D11" s="7">
        <f t="shared" si="0"/>
        <v>136251531.05602497</v>
      </c>
      <c r="E11" s="53">
        <v>225</v>
      </c>
      <c r="F11" s="50">
        <v>278.94</v>
      </c>
      <c r="G11" s="7">
        <f t="shared" si="1"/>
        <v>413514.95167499996</v>
      </c>
      <c r="H11" s="53">
        <v>7902</v>
      </c>
      <c r="I11" s="50">
        <v>10632.66</v>
      </c>
      <c r="J11" s="7">
        <f t="shared" si="2"/>
        <v>15762400.107824998</v>
      </c>
      <c r="K11" s="53">
        <v>10620</v>
      </c>
      <c r="L11" s="50">
        <v>11465.79</v>
      </c>
      <c r="M11" s="7">
        <f t="shared" si="3"/>
        <v>16997474.7177375</v>
      </c>
      <c r="N11" s="53">
        <f t="shared" si="11"/>
        <v>71323</v>
      </c>
      <c r="O11" s="65">
        <f t="shared" si="4"/>
        <v>169424920.83326247</v>
      </c>
      <c r="P11" s="9">
        <v>2779</v>
      </c>
      <c r="Q11" s="8">
        <v>2383.79</v>
      </c>
      <c r="R11" s="7">
        <f t="shared" si="5"/>
        <v>3533852.4652374997</v>
      </c>
      <c r="S11" s="29">
        <f t="shared" si="6"/>
        <v>3.8963588183334966E-2</v>
      </c>
      <c r="T11" s="29">
        <f t="shared" si="7"/>
        <v>2.0857926023263713E-2</v>
      </c>
      <c r="U11" s="9">
        <v>2450</v>
      </c>
      <c r="V11" s="19">
        <v>2229.2800000000002</v>
      </c>
      <c r="W11" s="7">
        <f t="shared" si="8"/>
        <v>3304798.9226000002</v>
      </c>
      <c r="X11" s="29">
        <f t="shared" si="9"/>
        <v>3.4350770438708413E-2</v>
      </c>
      <c r="Y11" s="44">
        <f t="shared" si="10"/>
        <v>1.9505978850964781E-2</v>
      </c>
    </row>
    <row r="12" spans="1:25" ht="12.75" customHeight="1" x14ac:dyDescent="0.2">
      <c r="A12" s="6" t="s">
        <v>12</v>
      </c>
      <c r="B12" s="53">
        <v>10623</v>
      </c>
      <c r="C12" s="50">
        <v>25700.65</v>
      </c>
      <c r="D12" s="7">
        <f t="shared" si="0"/>
        <v>38099960.718312494</v>
      </c>
      <c r="E12" s="53">
        <v>48</v>
      </c>
      <c r="F12" s="50">
        <v>67.48</v>
      </c>
      <c r="G12" s="7">
        <f t="shared" si="1"/>
        <v>100035.81035</v>
      </c>
      <c r="H12" s="53">
        <v>1056</v>
      </c>
      <c r="I12" s="50">
        <v>2694.74</v>
      </c>
      <c r="J12" s="7">
        <f t="shared" si="2"/>
        <v>3994820.6814249996</v>
      </c>
      <c r="K12" s="53">
        <v>3254</v>
      </c>
      <c r="L12" s="50">
        <v>4297.33</v>
      </c>
      <c r="M12" s="7">
        <f t="shared" si="3"/>
        <v>6370582.2301624995</v>
      </c>
      <c r="N12" s="53">
        <f t="shared" si="11"/>
        <v>14981</v>
      </c>
      <c r="O12" s="65">
        <f t="shared" si="4"/>
        <v>48565399.440249994</v>
      </c>
      <c r="P12" s="9">
        <v>547</v>
      </c>
      <c r="Q12" s="8">
        <v>529.03</v>
      </c>
      <c r="R12" s="7">
        <f t="shared" si="5"/>
        <v>784261.18478749995</v>
      </c>
      <c r="S12" s="29">
        <f t="shared" si="6"/>
        <v>3.6512916360723582E-2</v>
      </c>
      <c r="T12" s="29">
        <f t="shared" si="7"/>
        <v>1.6148558311609822E-2</v>
      </c>
      <c r="U12" s="9">
        <v>407</v>
      </c>
      <c r="V12" s="19">
        <v>377.3</v>
      </c>
      <c r="W12" s="7">
        <f t="shared" si="8"/>
        <v>559328.85662500001</v>
      </c>
      <c r="X12" s="29">
        <f t="shared" si="9"/>
        <v>2.7167745811361058E-2</v>
      </c>
      <c r="Y12" s="44">
        <f t="shared" si="10"/>
        <v>1.1517023705593984E-2</v>
      </c>
    </row>
    <row r="13" spans="1:25" ht="21" customHeight="1" x14ac:dyDescent="0.2">
      <c r="A13" s="6" t="s">
        <v>13</v>
      </c>
      <c r="B13" s="53">
        <v>20161</v>
      </c>
      <c r="C13" s="50">
        <v>30764.59</v>
      </c>
      <c r="D13" s="7">
        <f t="shared" si="0"/>
        <v>45607004.901237495</v>
      </c>
      <c r="E13" s="53">
        <v>153</v>
      </c>
      <c r="F13" s="50">
        <v>264.45999999999998</v>
      </c>
      <c r="G13" s="7">
        <f t="shared" si="1"/>
        <v>392049.05757499993</v>
      </c>
      <c r="H13" s="53">
        <v>8732</v>
      </c>
      <c r="I13" s="50">
        <v>7478.39</v>
      </c>
      <c r="J13" s="7">
        <f t="shared" si="2"/>
        <v>11086348.603487501</v>
      </c>
      <c r="K13" s="53">
        <v>18216</v>
      </c>
      <c r="L13" s="50">
        <v>13128.79</v>
      </c>
      <c r="M13" s="7">
        <f t="shared" si="3"/>
        <v>19462791.146487501</v>
      </c>
      <c r="N13" s="53">
        <f t="shared" si="11"/>
        <v>47262</v>
      </c>
      <c r="O13" s="65">
        <f t="shared" si="4"/>
        <v>76548193.708787501</v>
      </c>
      <c r="P13" s="9">
        <v>3980</v>
      </c>
      <c r="Q13" s="8">
        <v>2712.09</v>
      </c>
      <c r="R13" s="7">
        <f t="shared" si="5"/>
        <v>4020541.2106125001</v>
      </c>
      <c r="S13" s="29">
        <f t="shared" si="6"/>
        <v>8.4211417206212183E-2</v>
      </c>
      <c r="T13" s="29">
        <f t="shared" si="7"/>
        <v>5.2523005649327999E-2</v>
      </c>
      <c r="U13" s="9">
        <v>4453</v>
      </c>
      <c r="V13" s="19">
        <v>2732.96</v>
      </c>
      <c r="W13" s="7">
        <f t="shared" si="8"/>
        <v>4051479.9682</v>
      </c>
      <c r="X13" s="29">
        <f t="shared" si="9"/>
        <v>9.4219457492277101E-2</v>
      </c>
      <c r="Y13" s="44">
        <f t="shared" si="10"/>
        <v>5.2927179230551881E-2</v>
      </c>
    </row>
    <row r="14" spans="1:25" ht="12" customHeight="1" x14ac:dyDescent="0.2">
      <c r="A14" s="6" t="s">
        <v>14</v>
      </c>
      <c r="B14" s="53">
        <v>8846</v>
      </c>
      <c r="C14" s="50">
        <v>25025.39</v>
      </c>
      <c r="D14" s="7">
        <f t="shared" si="0"/>
        <v>37098920.687237501</v>
      </c>
      <c r="E14" s="53">
        <v>25</v>
      </c>
      <c r="F14" s="50">
        <v>62.23</v>
      </c>
      <c r="G14" s="7">
        <f t="shared" si="1"/>
        <v>92252.941287499983</v>
      </c>
      <c r="H14" s="53">
        <v>944</v>
      </c>
      <c r="I14" s="50">
        <v>2290.5100000000002</v>
      </c>
      <c r="J14" s="7">
        <f t="shared" si="2"/>
        <v>3395569.4126375001</v>
      </c>
      <c r="K14" s="53">
        <v>1088</v>
      </c>
      <c r="L14" s="50">
        <v>2178.66</v>
      </c>
      <c r="M14" s="7">
        <f t="shared" si="3"/>
        <v>3229757.2403249992</v>
      </c>
      <c r="N14" s="53">
        <f t="shared" si="11"/>
        <v>10903</v>
      </c>
      <c r="O14" s="65">
        <f t="shared" si="4"/>
        <v>43816500.281487502</v>
      </c>
      <c r="P14" s="9">
        <v>208</v>
      </c>
      <c r="Q14" s="8">
        <v>448.6</v>
      </c>
      <c r="R14" s="7">
        <f t="shared" si="5"/>
        <v>665027.63075000001</v>
      </c>
      <c r="S14" s="29">
        <f t="shared" si="6"/>
        <v>1.90773181693112E-2</v>
      </c>
      <c r="T14" s="29">
        <f t="shared" si="7"/>
        <v>1.5177561568763048E-2</v>
      </c>
      <c r="U14" s="9">
        <v>52</v>
      </c>
      <c r="V14" s="19">
        <v>56.52</v>
      </c>
      <c r="W14" s="7">
        <f t="shared" si="8"/>
        <v>83788.144650000002</v>
      </c>
      <c r="X14" s="29">
        <f t="shared" si="9"/>
        <v>4.7693295423278E-3</v>
      </c>
      <c r="Y14" s="44">
        <f t="shared" si="10"/>
        <v>1.9122509582400523E-3</v>
      </c>
    </row>
    <row r="15" spans="1:25" ht="12" customHeight="1" x14ac:dyDescent="0.2">
      <c r="A15" s="6" t="s">
        <v>15</v>
      </c>
      <c r="B15" s="53">
        <v>17150</v>
      </c>
      <c r="C15" s="50">
        <v>63543.74</v>
      </c>
      <c r="D15" s="7">
        <f t="shared" si="0"/>
        <v>94200496.792674989</v>
      </c>
      <c r="E15" s="53">
        <v>18</v>
      </c>
      <c r="F15" s="50">
        <v>26.07</v>
      </c>
      <c r="G15" s="7">
        <f t="shared" si="1"/>
        <v>38647.504087499998</v>
      </c>
      <c r="H15" s="53">
        <v>832</v>
      </c>
      <c r="I15" s="50">
        <v>2549.54</v>
      </c>
      <c r="J15" s="7">
        <f t="shared" si="2"/>
        <v>3779568.7599249994</v>
      </c>
      <c r="K15" s="53">
        <v>708</v>
      </c>
      <c r="L15" s="50">
        <v>1868.08</v>
      </c>
      <c r="M15" s="7">
        <f t="shared" si="3"/>
        <v>2769337.5310999998</v>
      </c>
      <c r="N15" s="53">
        <f t="shared" si="11"/>
        <v>18708</v>
      </c>
      <c r="O15" s="65">
        <f t="shared" si="4"/>
        <v>100788050.58778748</v>
      </c>
      <c r="P15" s="9">
        <v>48</v>
      </c>
      <c r="Q15" s="8">
        <v>78.06</v>
      </c>
      <c r="R15" s="7">
        <f t="shared" si="5"/>
        <v>115720.14457499998</v>
      </c>
      <c r="S15" s="29">
        <f t="shared" si="6"/>
        <v>2.5657472738935213E-3</v>
      </c>
      <c r="T15" s="29">
        <f t="shared" si="7"/>
        <v>1.1481534160064589E-3</v>
      </c>
      <c r="U15" s="9">
        <v>26</v>
      </c>
      <c r="V15" s="19">
        <v>30.48</v>
      </c>
      <c r="W15" s="7">
        <f t="shared" si="8"/>
        <v>45185.114099999999</v>
      </c>
      <c r="X15" s="29">
        <f t="shared" si="9"/>
        <v>1.3897797733589908E-3</v>
      </c>
      <c r="Y15" s="44">
        <f t="shared" si="10"/>
        <v>4.4831816704940904E-4</v>
      </c>
    </row>
    <row r="16" spans="1:25" ht="12.75" customHeight="1" x14ac:dyDescent="0.2">
      <c r="A16" s="6" t="s">
        <v>16</v>
      </c>
      <c r="B16" s="53">
        <v>1735</v>
      </c>
      <c r="C16" s="50">
        <v>3054.61</v>
      </c>
      <c r="D16" s="7">
        <f t="shared" si="0"/>
        <v>4528310.4127625003</v>
      </c>
      <c r="E16" s="53">
        <v>4</v>
      </c>
      <c r="F16" s="50">
        <v>3.25</v>
      </c>
      <c r="G16" s="7">
        <f t="shared" si="1"/>
        <v>4817.9665624999998</v>
      </c>
      <c r="H16" s="53">
        <v>219</v>
      </c>
      <c r="I16" s="50">
        <v>269.83</v>
      </c>
      <c r="J16" s="7">
        <f t="shared" si="2"/>
        <v>400009.82078749995</v>
      </c>
      <c r="K16" s="53">
        <v>520</v>
      </c>
      <c r="L16" s="50">
        <v>683.38</v>
      </c>
      <c r="M16" s="7">
        <f t="shared" si="3"/>
        <v>1013077.5352249999</v>
      </c>
      <c r="N16" s="53">
        <f t="shared" si="11"/>
        <v>2478</v>
      </c>
      <c r="O16" s="65">
        <f t="shared" si="4"/>
        <v>5946215.7353375005</v>
      </c>
      <c r="P16" s="9">
        <v>51</v>
      </c>
      <c r="Q16" s="8">
        <v>55.69</v>
      </c>
      <c r="R16" s="7">
        <f t="shared" si="5"/>
        <v>82557.71011249999</v>
      </c>
      <c r="S16" s="29">
        <f t="shared" si="6"/>
        <v>2.0581113801452784E-2</v>
      </c>
      <c r="T16" s="29">
        <f t="shared" si="7"/>
        <v>1.3884075820167683E-2</v>
      </c>
      <c r="U16" s="9">
        <v>32</v>
      </c>
      <c r="V16" s="19">
        <v>37.39</v>
      </c>
      <c r="W16" s="7">
        <f t="shared" si="8"/>
        <v>55428.852237500003</v>
      </c>
      <c r="X16" s="29">
        <f t="shared" si="9"/>
        <v>1.29136400322841E-2</v>
      </c>
      <c r="Y16" s="44">
        <f t="shared" si="10"/>
        <v>9.321702189191412E-3</v>
      </c>
    </row>
    <row r="17" spans="1:25" ht="12" customHeight="1" x14ac:dyDescent="0.2">
      <c r="A17" s="6" t="s">
        <v>17</v>
      </c>
      <c r="B17" s="53">
        <v>15155</v>
      </c>
      <c r="C17" s="50">
        <v>34837.81</v>
      </c>
      <c r="D17" s="7">
        <f t="shared" si="0"/>
        <v>51645354.981762491</v>
      </c>
      <c r="E17" s="53">
        <v>30</v>
      </c>
      <c r="F17" s="50">
        <v>52.52</v>
      </c>
      <c r="G17" s="7">
        <f t="shared" si="1"/>
        <v>77858.339649999994</v>
      </c>
      <c r="H17" s="53">
        <v>1755</v>
      </c>
      <c r="I17" s="50">
        <v>4119.9799999999996</v>
      </c>
      <c r="J17" s="7">
        <f t="shared" si="2"/>
        <v>6107669.5009749988</v>
      </c>
      <c r="K17" s="53">
        <v>2027</v>
      </c>
      <c r="L17" s="50">
        <v>3475.28</v>
      </c>
      <c r="M17" s="7">
        <f t="shared" si="3"/>
        <v>5151933.1800999995</v>
      </c>
      <c r="N17" s="53">
        <f t="shared" si="11"/>
        <v>18967</v>
      </c>
      <c r="O17" s="65">
        <f t="shared" si="4"/>
        <v>62982816.002487488</v>
      </c>
      <c r="P17" s="9">
        <v>135</v>
      </c>
      <c r="Q17" s="8">
        <v>193.3</v>
      </c>
      <c r="R17" s="7">
        <f t="shared" si="5"/>
        <v>286557.82662499999</v>
      </c>
      <c r="S17" s="29">
        <f t="shared" si="6"/>
        <v>7.1176253492908738E-3</v>
      </c>
      <c r="T17" s="29">
        <f t="shared" si="7"/>
        <v>4.5497779364721078E-3</v>
      </c>
      <c r="U17" s="9">
        <v>102</v>
      </c>
      <c r="V17" s="19">
        <v>126.66</v>
      </c>
      <c r="W17" s="7">
        <f t="shared" si="8"/>
        <v>187767.27532499997</v>
      </c>
      <c r="X17" s="29">
        <f t="shared" si="9"/>
        <v>5.3777613750197713E-3</v>
      </c>
      <c r="Y17" s="44">
        <f t="shared" si="10"/>
        <v>2.9812461119170055E-3</v>
      </c>
    </row>
    <row r="18" spans="1:25" ht="12.75" customHeight="1" x14ac:dyDescent="0.2">
      <c r="A18" s="6" t="s">
        <v>18</v>
      </c>
      <c r="B18" s="53">
        <v>4576</v>
      </c>
      <c r="C18" s="50">
        <v>8063.78</v>
      </c>
      <c r="D18" s="7">
        <f t="shared" si="0"/>
        <v>11954160.740724999</v>
      </c>
      <c r="E18" s="53">
        <v>18</v>
      </c>
      <c r="F18" s="50">
        <v>36.979999999999997</v>
      </c>
      <c r="G18" s="7">
        <f t="shared" si="1"/>
        <v>54821.047224999995</v>
      </c>
      <c r="H18" s="53">
        <v>1306</v>
      </c>
      <c r="I18" s="50">
        <v>1446.46</v>
      </c>
      <c r="J18" s="7">
        <f t="shared" si="2"/>
        <v>2144306.4350749999</v>
      </c>
      <c r="K18" s="53">
        <v>4283</v>
      </c>
      <c r="L18" s="50">
        <v>4423.9799999999996</v>
      </c>
      <c r="M18" s="7">
        <f t="shared" si="3"/>
        <v>6558334.6809749994</v>
      </c>
      <c r="N18" s="53">
        <f t="shared" si="11"/>
        <v>10183</v>
      </c>
      <c r="O18" s="65">
        <f t="shared" si="4"/>
        <v>20711622.903999999</v>
      </c>
      <c r="P18" s="9">
        <v>805</v>
      </c>
      <c r="Q18" s="8">
        <v>557.97</v>
      </c>
      <c r="R18" s="7">
        <f t="shared" si="5"/>
        <v>827163.32396249997</v>
      </c>
      <c r="S18" s="29">
        <f t="shared" si="6"/>
        <v>7.9053324167730532E-2</v>
      </c>
      <c r="T18" s="29">
        <f t="shared" si="7"/>
        <v>3.9937156436097111E-2</v>
      </c>
      <c r="U18" s="9">
        <v>481</v>
      </c>
      <c r="V18" s="19">
        <v>321.39</v>
      </c>
      <c r="W18" s="7">
        <f t="shared" si="8"/>
        <v>476445.00723749993</v>
      </c>
      <c r="X18" s="29">
        <f t="shared" si="9"/>
        <v>4.7235588726308557E-2</v>
      </c>
      <c r="Y18" s="44">
        <f t="shared" si="10"/>
        <v>2.3003750572606504E-2</v>
      </c>
    </row>
    <row r="19" spans="1:25" ht="21" customHeight="1" x14ac:dyDescent="0.2">
      <c r="A19" s="6" t="s">
        <v>19</v>
      </c>
      <c r="B19" s="53">
        <v>8376</v>
      </c>
      <c r="C19" s="50">
        <v>20769.87</v>
      </c>
      <c r="D19" s="7">
        <f t="shared" si="0"/>
        <v>30790319.743837494</v>
      </c>
      <c r="E19" s="53">
        <v>62</v>
      </c>
      <c r="F19" s="50">
        <v>194.81</v>
      </c>
      <c r="G19" s="7">
        <f t="shared" si="1"/>
        <v>288796.32801250002</v>
      </c>
      <c r="H19" s="53">
        <v>108</v>
      </c>
      <c r="I19" s="50">
        <v>257.63</v>
      </c>
      <c r="J19" s="7">
        <f t="shared" si="2"/>
        <v>381923.91553749994</v>
      </c>
      <c r="K19" s="53">
        <v>132</v>
      </c>
      <c r="L19" s="50">
        <v>244.09</v>
      </c>
      <c r="M19" s="7">
        <f t="shared" si="3"/>
        <v>361851.52561250003</v>
      </c>
      <c r="N19" s="53">
        <f t="shared" si="11"/>
        <v>8678</v>
      </c>
      <c r="O19" s="65">
        <f t="shared" si="4"/>
        <v>31822891.512999993</v>
      </c>
      <c r="P19" s="9">
        <v>4</v>
      </c>
      <c r="Q19" s="8">
        <v>2.5499999999999998</v>
      </c>
      <c r="R19" s="7">
        <f t="shared" si="5"/>
        <v>3780.2506874999999</v>
      </c>
      <c r="S19" s="29">
        <f t="shared" si="6"/>
        <v>4.6093569946992392E-4</v>
      </c>
      <c r="T19" s="29">
        <f t="shared" si="7"/>
        <v>1.1879029553162153E-4</v>
      </c>
      <c r="U19" s="9">
        <v>12</v>
      </c>
      <c r="V19" s="19">
        <v>8.52</v>
      </c>
      <c r="W19" s="7">
        <f t="shared" si="8"/>
        <v>12630.484649999999</v>
      </c>
      <c r="X19" s="29">
        <f t="shared" si="9"/>
        <v>1.3828070984097719E-3</v>
      </c>
      <c r="Y19" s="44">
        <f t="shared" si="10"/>
        <v>3.968993403644766E-4</v>
      </c>
    </row>
    <row r="20" spans="1:25" ht="12" customHeight="1" x14ac:dyDescent="0.2">
      <c r="A20" s="6" t="s">
        <v>20</v>
      </c>
      <c r="B20" s="54">
        <v>9211</v>
      </c>
      <c r="C20" s="51">
        <v>17111.55</v>
      </c>
      <c r="D20" s="7">
        <f t="shared" si="0"/>
        <v>25367038.6869375</v>
      </c>
      <c r="E20" s="54">
        <v>10</v>
      </c>
      <c r="F20" s="51">
        <v>10.48</v>
      </c>
      <c r="G20" s="7">
        <f t="shared" si="1"/>
        <v>15536.089099999999</v>
      </c>
      <c r="H20" s="54">
        <v>714</v>
      </c>
      <c r="I20" s="51">
        <v>1363.91</v>
      </c>
      <c r="J20" s="7">
        <f t="shared" si="2"/>
        <v>2021930.0843875001</v>
      </c>
      <c r="K20" s="54">
        <v>1268</v>
      </c>
      <c r="L20" s="51">
        <v>2174.67</v>
      </c>
      <c r="M20" s="7">
        <f t="shared" si="3"/>
        <v>3223842.2598374998</v>
      </c>
      <c r="N20" s="53">
        <f t="shared" si="11"/>
        <v>11203</v>
      </c>
      <c r="O20" s="65">
        <f t="shared" si="4"/>
        <v>30628347.1202625</v>
      </c>
      <c r="P20" s="9">
        <v>57</v>
      </c>
      <c r="Q20" s="8">
        <v>42.72</v>
      </c>
      <c r="R20" s="7">
        <f t="shared" si="5"/>
        <v>63330.3174</v>
      </c>
      <c r="S20" s="29">
        <f t="shared" si="6"/>
        <v>5.0879228778005891E-3</v>
      </c>
      <c r="T20" s="29">
        <f t="shared" si="7"/>
        <v>2.0677027444978634E-3</v>
      </c>
      <c r="U20" s="9">
        <v>73</v>
      </c>
      <c r="V20" s="19">
        <v>57.82</v>
      </c>
      <c r="W20" s="7">
        <f t="shared" si="8"/>
        <v>85715.331275000004</v>
      </c>
      <c r="X20" s="29">
        <f t="shared" si="9"/>
        <v>6.5161117557797016E-3</v>
      </c>
      <c r="Y20" s="44">
        <f t="shared" si="10"/>
        <v>2.7985620947300204E-3</v>
      </c>
    </row>
    <row r="21" spans="1:25" ht="21.75" customHeight="1" x14ac:dyDescent="0.2">
      <c r="A21" s="6" t="s">
        <v>21</v>
      </c>
      <c r="B21" s="53">
        <v>4420</v>
      </c>
      <c r="C21" s="50">
        <v>7777.06</v>
      </c>
      <c r="D21" s="7">
        <f t="shared" si="0"/>
        <v>11529112.318325</v>
      </c>
      <c r="E21" s="53">
        <v>9</v>
      </c>
      <c r="F21" s="50">
        <v>15.76</v>
      </c>
      <c r="G21" s="7">
        <f t="shared" si="1"/>
        <v>23363.431700000001</v>
      </c>
      <c r="H21" s="53">
        <v>1081</v>
      </c>
      <c r="I21" s="50">
        <v>1674.13</v>
      </c>
      <c r="J21" s="7">
        <f t="shared" si="2"/>
        <v>2481816.1111625</v>
      </c>
      <c r="K21" s="53">
        <v>865</v>
      </c>
      <c r="L21" s="50">
        <v>1261.1199999999999</v>
      </c>
      <c r="M21" s="7">
        <f t="shared" si="3"/>
        <v>1869548.9203999997</v>
      </c>
      <c r="N21" s="53">
        <f t="shared" si="11"/>
        <v>6375</v>
      </c>
      <c r="O21" s="65">
        <f t="shared" si="4"/>
        <v>15903840.7815875</v>
      </c>
      <c r="P21" s="9">
        <v>93</v>
      </c>
      <c r="Q21" s="8">
        <v>88.22</v>
      </c>
      <c r="R21" s="7">
        <f t="shared" si="5"/>
        <v>130781.84927499999</v>
      </c>
      <c r="S21" s="29">
        <f t="shared" si="6"/>
        <v>1.4588235294117647E-2</v>
      </c>
      <c r="T21" s="29">
        <f t="shared" si="7"/>
        <v>8.2232871336596416E-3</v>
      </c>
      <c r="U21" s="9">
        <v>195</v>
      </c>
      <c r="V21" s="19">
        <v>195.53</v>
      </c>
      <c r="W21" s="7">
        <f t="shared" si="8"/>
        <v>289863.6929125</v>
      </c>
      <c r="X21" s="29">
        <f t="shared" si="9"/>
        <v>3.0588235294117649E-2</v>
      </c>
      <c r="Y21" s="44">
        <f t="shared" si="10"/>
        <v>1.8226018286607006E-2</v>
      </c>
    </row>
    <row r="22" spans="1:25" ht="12.75" customHeight="1" x14ac:dyDescent="0.2">
      <c r="A22" s="10" t="s">
        <v>22</v>
      </c>
      <c r="B22" s="54">
        <v>2693</v>
      </c>
      <c r="C22" s="51">
        <v>4272.57</v>
      </c>
      <c r="D22" s="7">
        <f t="shared" si="0"/>
        <v>6333876.7372124987</v>
      </c>
      <c r="E22" s="54">
        <v>7</v>
      </c>
      <c r="F22" s="51">
        <v>13.62</v>
      </c>
      <c r="G22" s="7">
        <f t="shared" si="1"/>
        <v>20190.986024999998</v>
      </c>
      <c r="H22" s="54">
        <v>796</v>
      </c>
      <c r="I22" s="51">
        <v>826.1</v>
      </c>
      <c r="J22" s="7">
        <f t="shared" si="2"/>
        <v>1224652.9776249998</v>
      </c>
      <c r="K22" s="54">
        <v>1296</v>
      </c>
      <c r="L22" s="51">
        <v>1199.07</v>
      </c>
      <c r="M22" s="7">
        <f t="shared" si="3"/>
        <v>1777562.8203374997</v>
      </c>
      <c r="N22" s="53">
        <f t="shared" si="11"/>
        <v>4792</v>
      </c>
      <c r="O22" s="65">
        <f t="shared" si="4"/>
        <v>9356283.5211999994</v>
      </c>
      <c r="P22" s="9">
        <v>203</v>
      </c>
      <c r="Q22" s="8">
        <v>132.43</v>
      </c>
      <c r="R22" s="7">
        <f t="shared" si="5"/>
        <v>196321.01903749999</v>
      </c>
      <c r="S22" s="29">
        <f t="shared" si="6"/>
        <v>4.2362270450751249E-2</v>
      </c>
      <c r="T22" s="29">
        <f t="shared" si="7"/>
        <v>2.0982799269887949E-2</v>
      </c>
      <c r="U22" s="9">
        <v>260</v>
      </c>
      <c r="V22" s="19">
        <v>156.27000000000001</v>
      </c>
      <c r="W22" s="7">
        <f t="shared" si="8"/>
        <v>231662.65683750002</v>
      </c>
      <c r="X22" s="29">
        <f t="shared" si="9"/>
        <v>5.4257095158597661E-2</v>
      </c>
      <c r="Y22" s="44">
        <f t="shared" si="10"/>
        <v>2.4760115094052633E-2</v>
      </c>
    </row>
    <row r="23" spans="1:25" ht="13.5" customHeight="1" x14ac:dyDescent="0.2">
      <c r="A23" s="10" t="s">
        <v>23</v>
      </c>
      <c r="B23" s="54">
        <v>6251</v>
      </c>
      <c r="C23" s="51">
        <v>10863.86</v>
      </c>
      <c r="D23" s="7">
        <f t="shared" si="0"/>
        <v>16105142.836825</v>
      </c>
      <c r="E23" s="54">
        <v>22</v>
      </c>
      <c r="F23" s="51">
        <v>24.57</v>
      </c>
      <c r="G23" s="7">
        <f t="shared" si="1"/>
        <v>36423.8272125</v>
      </c>
      <c r="H23" s="54">
        <v>754</v>
      </c>
      <c r="I23" s="51">
        <v>800.53</v>
      </c>
      <c r="J23" s="7">
        <f t="shared" si="2"/>
        <v>1186746.6991625</v>
      </c>
      <c r="K23" s="54">
        <v>1226</v>
      </c>
      <c r="L23" s="51">
        <v>1180.3800000000001</v>
      </c>
      <c r="M23" s="7">
        <f t="shared" si="3"/>
        <v>1749855.806475</v>
      </c>
      <c r="N23" s="53">
        <f t="shared" si="11"/>
        <v>8253</v>
      </c>
      <c r="O23" s="65">
        <f t="shared" si="4"/>
        <v>19078169.169675</v>
      </c>
      <c r="P23" s="9">
        <v>256</v>
      </c>
      <c r="Q23" s="8">
        <v>220.68</v>
      </c>
      <c r="R23" s="7">
        <f t="shared" si="5"/>
        <v>327147.34184999997</v>
      </c>
      <c r="S23" s="29">
        <f t="shared" si="6"/>
        <v>3.10190233854356E-2</v>
      </c>
      <c r="T23" s="29">
        <f t="shared" si="7"/>
        <v>1.714773251775149E-2</v>
      </c>
      <c r="U23" s="9">
        <v>268</v>
      </c>
      <c r="V23" s="19">
        <v>183.49</v>
      </c>
      <c r="W23" s="7">
        <f t="shared" si="8"/>
        <v>272014.97986249998</v>
      </c>
      <c r="X23" s="29">
        <f t="shared" si="9"/>
        <v>3.2473040106627896E-2</v>
      </c>
      <c r="Y23" s="44">
        <f t="shared" si="10"/>
        <v>1.4257918432491487E-2</v>
      </c>
    </row>
    <row r="24" spans="1:25" ht="42.75" customHeight="1" x14ac:dyDescent="0.2">
      <c r="A24" s="10" t="s">
        <v>24</v>
      </c>
      <c r="B24" s="53">
        <v>293</v>
      </c>
      <c r="C24" s="50">
        <v>206.04</v>
      </c>
      <c r="D24" s="7">
        <f t="shared" si="0"/>
        <v>305444.25554999994</v>
      </c>
      <c r="E24" s="53">
        <v>2</v>
      </c>
      <c r="F24" s="50">
        <v>0.68</v>
      </c>
      <c r="G24" s="7">
        <f t="shared" si="1"/>
        <v>1008.0668499999999</v>
      </c>
      <c r="H24" s="53">
        <v>28106</v>
      </c>
      <c r="I24" s="50">
        <v>13422.61</v>
      </c>
      <c r="J24" s="7">
        <f t="shared" si="2"/>
        <v>19898364.972762499</v>
      </c>
      <c r="K24" s="53">
        <v>389</v>
      </c>
      <c r="L24" s="50">
        <v>189.93</v>
      </c>
      <c r="M24" s="7">
        <f t="shared" si="3"/>
        <v>281561.96591249999</v>
      </c>
      <c r="N24" s="53">
        <f t="shared" si="11"/>
        <v>28790</v>
      </c>
      <c r="O24" s="65">
        <f t="shared" si="4"/>
        <v>20486379.261074997</v>
      </c>
      <c r="P24" s="9">
        <v>42</v>
      </c>
      <c r="Q24" s="8">
        <v>17.66</v>
      </c>
      <c r="R24" s="7">
        <f t="shared" si="5"/>
        <v>26180.089075</v>
      </c>
      <c r="S24" s="29">
        <f t="shared" si="6"/>
        <v>1.4588398749565822E-3</v>
      </c>
      <c r="T24" s="29">
        <f t="shared" si="7"/>
        <v>1.2779266038847235E-3</v>
      </c>
      <c r="U24" s="17">
        <v>111</v>
      </c>
      <c r="V24" s="20">
        <v>53.55</v>
      </c>
      <c r="W24" s="7">
        <f t="shared" si="8"/>
        <v>79385.264437499995</v>
      </c>
      <c r="X24" s="29">
        <f t="shared" si="9"/>
        <v>3.8555053838138244E-3</v>
      </c>
      <c r="Y24" s="44">
        <f t="shared" si="10"/>
        <v>3.8750265933197581E-3</v>
      </c>
    </row>
    <row r="25" spans="1:25" ht="14.25" customHeight="1" x14ac:dyDescent="0.2">
      <c r="A25" s="10" t="s">
        <v>25</v>
      </c>
      <c r="B25" s="54">
        <v>258</v>
      </c>
      <c r="C25" s="51">
        <v>788.21</v>
      </c>
      <c r="D25" s="7">
        <f t="shared" si="0"/>
        <v>1168482.8997625001</v>
      </c>
      <c r="E25" s="54">
        <v>55</v>
      </c>
      <c r="F25" s="51">
        <v>142.63999999999999</v>
      </c>
      <c r="G25" s="7">
        <f t="shared" si="1"/>
        <v>211456.84629999998</v>
      </c>
      <c r="H25" s="54">
        <v>78</v>
      </c>
      <c r="I25" s="51">
        <v>183.04</v>
      </c>
      <c r="J25" s="7">
        <f t="shared" si="2"/>
        <v>271347.87679999997</v>
      </c>
      <c r="K25" s="54">
        <v>58</v>
      </c>
      <c r="L25" s="51">
        <v>141.06</v>
      </c>
      <c r="M25" s="7">
        <f t="shared" si="3"/>
        <v>209114.573325</v>
      </c>
      <c r="N25" s="53">
        <f t="shared" si="11"/>
        <v>449</v>
      </c>
      <c r="O25" s="65">
        <f t="shared" si="4"/>
        <v>1860402.1961874999</v>
      </c>
      <c r="P25" s="9">
        <v>1</v>
      </c>
      <c r="Q25" s="16">
        <v>1.24</v>
      </c>
      <c r="R25" s="7">
        <f t="shared" si="5"/>
        <v>1838.2395499999998</v>
      </c>
      <c r="S25" s="29">
        <f t="shared" si="6"/>
        <v>2.2271714922048997E-3</v>
      </c>
      <c r="T25" s="29">
        <f t="shared" si="7"/>
        <v>9.8808717478784014E-4</v>
      </c>
      <c r="U25" s="9">
        <v>2</v>
      </c>
      <c r="V25" s="19">
        <v>4.18</v>
      </c>
      <c r="W25" s="7">
        <f t="shared" si="8"/>
        <v>6196.6462249999986</v>
      </c>
      <c r="X25" s="29">
        <f t="shared" si="9"/>
        <v>4.4543429844097994E-3</v>
      </c>
      <c r="Y25" s="44">
        <f t="shared" si="10"/>
        <v>3.3308099924299769E-3</v>
      </c>
    </row>
    <row r="26" spans="1:25" ht="13.5" customHeight="1" thickBot="1" x14ac:dyDescent="0.25">
      <c r="A26" s="11" t="s">
        <v>26</v>
      </c>
      <c r="B26" s="55">
        <v>53</v>
      </c>
      <c r="C26" s="52">
        <v>31.21</v>
      </c>
      <c r="D26" s="7">
        <f t="shared" si="0"/>
        <v>46267.303512500002</v>
      </c>
      <c r="E26" s="55">
        <v>0</v>
      </c>
      <c r="F26" s="52">
        <v>0</v>
      </c>
      <c r="G26" s="7">
        <f t="shared" si="1"/>
        <v>0</v>
      </c>
      <c r="H26" s="55">
        <v>135</v>
      </c>
      <c r="I26" s="52">
        <v>52.84</v>
      </c>
      <c r="J26" s="7">
        <f t="shared" si="2"/>
        <v>78332.724050000004</v>
      </c>
      <c r="K26" s="55">
        <v>104</v>
      </c>
      <c r="L26" s="52">
        <v>36.880000000000003</v>
      </c>
      <c r="M26" s="7">
        <f t="shared" si="3"/>
        <v>54672.802100000008</v>
      </c>
      <c r="N26" s="58">
        <f t="shared" si="11"/>
        <v>292</v>
      </c>
      <c r="O26" s="65">
        <f t="shared" si="4"/>
        <v>179272.82966250001</v>
      </c>
      <c r="P26" s="17">
        <v>19</v>
      </c>
      <c r="Q26" s="12">
        <v>6.43</v>
      </c>
      <c r="R26" s="7">
        <f t="shared" si="5"/>
        <v>9532.1615374999983</v>
      </c>
      <c r="S26" s="34">
        <f t="shared" si="6"/>
        <v>6.5068493150684928E-2</v>
      </c>
      <c r="T26" s="34">
        <f t="shared" si="7"/>
        <v>5.317125609856941E-2</v>
      </c>
      <c r="U26" s="13">
        <v>60</v>
      </c>
      <c r="V26" s="21">
        <v>22.08</v>
      </c>
      <c r="W26" s="7">
        <f t="shared" si="8"/>
        <v>32732.523599999997</v>
      </c>
      <c r="X26" s="34">
        <f t="shared" si="9"/>
        <v>0.20547945205479451</v>
      </c>
      <c r="Y26" s="45">
        <f t="shared" si="10"/>
        <v>0.18258496650955094</v>
      </c>
    </row>
    <row r="27" spans="1:25" ht="12.75" customHeight="1" thickBot="1" x14ac:dyDescent="0.25">
      <c r="A27" s="14" t="s">
        <v>27</v>
      </c>
      <c r="B27" s="56">
        <f t="shared" ref="B27:K27" si="12">SUM(B5:B26)</f>
        <v>220381</v>
      </c>
      <c r="C27" s="46">
        <f t="shared" si="12"/>
        <v>466809.52</v>
      </c>
      <c r="D27" s="25">
        <f t="shared" si="12"/>
        <v>692022356.43590009</v>
      </c>
      <c r="E27" s="56">
        <f t="shared" si="12"/>
        <v>3045</v>
      </c>
      <c r="F27" s="46">
        <f t="shared" si="12"/>
        <v>4266.6500000000005</v>
      </c>
      <c r="G27" s="25">
        <f t="shared" si="12"/>
        <v>6325100.6258125007</v>
      </c>
      <c r="H27" s="56">
        <f t="shared" si="12"/>
        <v>70695</v>
      </c>
      <c r="I27" s="46">
        <f t="shared" si="12"/>
        <v>66046.219999999987</v>
      </c>
      <c r="J27" s="25">
        <f t="shared" si="12"/>
        <v>97910301.396774977</v>
      </c>
      <c r="K27" s="56">
        <f t="shared" si="12"/>
        <v>68971</v>
      </c>
      <c r="L27" s="46">
        <f t="shared" ref="L27:R27" si="13">SUM(L5:L26)</f>
        <v>71135.680000000008</v>
      </c>
      <c r="M27" s="25">
        <f t="shared" si="13"/>
        <v>105455177.73560001</v>
      </c>
      <c r="N27" s="56">
        <f t="shared" si="13"/>
        <v>363092</v>
      </c>
      <c r="O27" s="27">
        <f t="shared" si="13"/>
        <v>901712936.19408739</v>
      </c>
      <c r="P27" s="49">
        <f t="shared" si="13"/>
        <v>18328</v>
      </c>
      <c r="Q27" s="32">
        <f t="shared" si="13"/>
        <v>14783.719999999998</v>
      </c>
      <c r="R27" s="25">
        <f t="shared" si="13"/>
        <v>21916144.19365</v>
      </c>
      <c r="S27" s="36">
        <f t="shared" si="6"/>
        <v>5.0477564914677274E-2</v>
      </c>
      <c r="T27" s="36">
        <f t="shared" si="7"/>
        <v>2.4305012508917475E-2</v>
      </c>
      <c r="U27" s="25">
        <f>SUM(U5:U26)</f>
        <v>13589</v>
      </c>
      <c r="V27" s="32">
        <f>SUM(V5:V26)</f>
        <v>10556.34</v>
      </c>
      <c r="W27" s="25">
        <f>SUM(W5:W26)</f>
        <v>15649259.428424999</v>
      </c>
      <c r="X27" s="36">
        <f t="shared" si="9"/>
        <v>3.7425776387251718E-2</v>
      </c>
      <c r="Y27" s="37">
        <f t="shared" si="10"/>
        <v>1.7355034845653591E-2</v>
      </c>
    </row>
    <row r="28" spans="1:25" ht="13.5" x14ac:dyDescent="0.2">
      <c r="A28" s="42" t="s">
        <v>30</v>
      </c>
      <c r="B28" s="42"/>
      <c r="C28" s="42"/>
      <c r="D28" s="42"/>
      <c r="E28" s="42"/>
      <c r="F28" s="42"/>
      <c r="G28" s="42"/>
      <c r="H28" s="42"/>
      <c r="I28" s="42"/>
      <c r="J28" s="42"/>
      <c r="K28" s="42"/>
      <c r="L28" s="42"/>
      <c r="M28" s="42"/>
      <c r="N28" s="42"/>
      <c r="O28" s="42"/>
      <c r="P28" s="42"/>
      <c r="Q28" s="35"/>
      <c r="R28" s="28"/>
      <c r="S28" s="28"/>
      <c r="T28" s="28"/>
      <c r="U28" s="1"/>
      <c r="V28" s="1"/>
      <c r="W28" s="1"/>
    </row>
    <row r="29" spans="1:25" x14ac:dyDescent="0.2">
      <c r="A29" s="92" t="s">
        <v>31</v>
      </c>
      <c r="B29" s="92"/>
      <c r="C29" s="92"/>
      <c r="D29" s="92"/>
      <c r="E29" s="92"/>
      <c r="F29" s="92"/>
      <c r="G29" s="92"/>
      <c r="H29" s="92"/>
      <c r="I29" s="92"/>
      <c r="J29" s="92"/>
      <c r="K29" s="92"/>
      <c r="L29" s="92"/>
      <c r="M29" s="92"/>
      <c r="N29" s="92"/>
      <c r="O29" s="92"/>
      <c r="P29" s="92"/>
      <c r="Q29" s="92"/>
      <c r="R29" s="92"/>
      <c r="S29" s="92"/>
      <c r="T29" s="92"/>
      <c r="U29" s="1"/>
      <c r="V29" s="1"/>
      <c r="W29" s="1"/>
    </row>
    <row r="30" spans="1:25" ht="36.75" customHeight="1" x14ac:dyDescent="0.2">
      <c r="A30" s="112" t="s">
        <v>42</v>
      </c>
      <c r="B30" s="112"/>
      <c r="C30" s="112"/>
      <c r="D30" s="112"/>
      <c r="E30" s="112"/>
      <c r="F30" s="112"/>
      <c r="G30" s="112"/>
      <c r="H30" s="112"/>
      <c r="I30" s="112"/>
      <c r="J30" s="112"/>
      <c r="K30" s="112"/>
      <c r="L30" s="112"/>
      <c r="M30" s="112"/>
      <c r="N30" s="112"/>
    </row>
    <row r="31" spans="1:25" ht="13.5" x14ac:dyDescent="0.2">
      <c r="A31" s="23" t="s">
        <v>38</v>
      </c>
    </row>
    <row r="32" spans="1:25" x14ac:dyDescent="0.2">
      <c r="A32" s="15"/>
      <c r="K32" s="59"/>
      <c r="L32" s="59"/>
      <c r="M32" s="24"/>
      <c r="N32" s="59"/>
      <c r="O32" s="59"/>
      <c r="U32" s="24" t="s">
        <v>33</v>
      </c>
    </row>
    <row r="33" spans="1:21" x14ac:dyDescent="0.2">
      <c r="A33" s="15" t="s">
        <v>43</v>
      </c>
      <c r="K33" s="59"/>
      <c r="L33" s="59"/>
      <c r="M33" s="24" t="s">
        <v>33</v>
      </c>
      <c r="N33" s="59"/>
      <c r="O33" s="59"/>
      <c r="U33" s="24" t="s">
        <v>34</v>
      </c>
    </row>
    <row r="34" spans="1:21" x14ac:dyDescent="0.2">
      <c r="A34" s="60">
        <v>40896</v>
      </c>
      <c r="M34" s="24" t="s">
        <v>34</v>
      </c>
    </row>
  </sheetData>
  <mergeCells count="14">
    <mergeCell ref="X3:Y3"/>
    <mergeCell ref="N3:O3"/>
    <mergeCell ref="A1:O1"/>
    <mergeCell ref="A30:N30"/>
    <mergeCell ref="A29:T29"/>
    <mergeCell ref="A3:A4"/>
    <mergeCell ref="B3:D3"/>
    <mergeCell ref="E3:G3"/>
    <mergeCell ref="B2:O2"/>
    <mergeCell ref="H3:J3"/>
    <mergeCell ref="K3:M3"/>
    <mergeCell ref="R3:R4"/>
    <mergeCell ref="S3:T3"/>
    <mergeCell ref="W3:W4"/>
  </mergeCells>
  <pageMargins left="0" right="0" top="0.15748031496062992" bottom="0.15748031496062992"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opLeftCell="A28" workbookViewId="0">
      <selection activeCell="O28" sqref="O28"/>
    </sheetView>
  </sheetViews>
  <sheetFormatPr defaultRowHeight="12.75" x14ac:dyDescent="0.2"/>
  <cols>
    <col min="1" max="1" width="41.85546875" customWidth="1"/>
    <col min="2" max="2" width="6.7109375" customWidth="1"/>
    <col min="3" max="3" width="10.28515625" customWidth="1"/>
    <col min="4" max="4" width="12.5703125" customWidth="1"/>
    <col min="5" max="5" width="10" customWidth="1"/>
    <col min="6" max="6" width="10.42578125" customWidth="1"/>
    <col min="7" max="7" width="11.7109375" customWidth="1"/>
    <col min="8" max="8" width="7.7109375" customWidth="1"/>
    <col min="9" max="9" width="10" customWidth="1"/>
    <col min="10" max="10" width="13.28515625" customWidth="1"/>
    <col min="11" max="11" width="9.5703125" customWidth="1"/>
    <col min="12" max="12" width="10.7109375" customWidth="1"/>
    <col min="13" max="13" width="11.85546875" customWidth="1"/>
    <col min="14" max="14" width="6.7109375" customWidth="1"/>
    <col min="15" max="15" width="12.42578125" customWidth="1"/>
  </cols>
  <sheetData>
    <row r="1" spans="1:15" ht="30.75" customHeight="1" thickBot="1" x14ac:dyDescent="0.25">
      <c r="A1" s="111" t="s">
        <v>48</v>
      </c>
      <c r="B1" s="111"/>
      <c r="C1" s="111"/>
      <c r="D1" s="111"/>
      <c r="E1" s="111"/>
      <c r="F1" s="111"/>
      <c r="G1" s="111"/>
      <c r="H1" s="111"/>
      <c r="I1" s="111"/>
      <c r="J1" s="111"/>
      <c r="K1" s="111"/>
      <c r="L1" s="111"/>
      <c r="M1" s="111"/>
      <c r="N1" s="111"/>
      <c r="O1" s="111"/>
    </row>
    <row r="2" spans="1:15" ht="14.25" customHeight="1" x14ac:dyDescent="0.2">
      <c r="A2" s="2" t="s">
        <v>4</v>
      </c>
      <c r="B2" s="120">
        <v>2010</v>
      </c>
      <c r="C2" s="121"/>
      <c r="D2" s="121"/>
      <c r="E2" s="121"/>
      <c r="F2" s="121"/>
      <c r="G2" s="121"/>
      <c r="H2" s="121"/>
      <c r="I2" s="121"/>
      <c r="J2" s="121"/>
      <c r="K2" s="121"/>
      <c r="L2" s="121"/>
      <c r="M2" s="121"/>
      <c r="N2" s="121"/>
      <c r="O2" s="122"/>
    </row>
    <row r="3" spans="1:15" x14ac:dyDescent="0.2">
      <c r="A3" s="97" t="s">
        <v>40</v>
      </c>
      <c r="B3" s="100" t="s">
        <v>1</v>
      </c>
      <c r="C3" s="101"/>
      <c r="D3" s="101"/>
      <c r="E3" s="101"/>
      <c r="F3" s="101"/>
      <c r="G3" s="101"/>
      <c r="H3" s="101"/>
      <c r="I3" s="101"/>
      <c r="J3" s="101"/>
      <c r="K3" s="101"/>
      <c r="L3" s="101"/>
      <c r="M3" s="101"/>
      <c r="N3" s="101"/>
      <c r="O3" s="102"/>
    </row>
    <row r="4" spans="1:15" ht="21.75" customHeight="1" x14ac:dyDescent="0.2">
      <c r="A4" s="98"/>
      <c r="B4" s="103" t="s">
        <v>0</v>
      </c>
      <c r="C4" s="103"/>
      <c r="D4" s="89"/>
      <c r="E4" s="89" t="s">
        <v>3</v>
      </c>
      <c r="F4" s="89"/>
      <c r="G4" s="89"/>
      <c r="H4" s="89" t="s">
        <v>28</v>
      </c>
      <c r="I4" s="89"/>
      <c r="J4" s="89"/>
      <c r="K4" s="89" t="s">
        <v>29</v>
      </c>
      <c r="L4" s="89"/>
      <c r="M4" s="89"/>
      <c r="N4" s="89" t="s">
        <v>39</v>
      </c>
      <c r="O4" s="90"/>
    </row>
    <row r="5" spans="1:15" ht="23.25" customHeight="1" x14ac:dyDescent="0.2">
      <c r="A5" s="99"/>
      <c r="B5" s="3" t="s">
        <v>2</v>
      </c>
      <c r="C5" s="3" t="s">
        <v>44</v>
      </c>
      <c r="D5" s="4" t="s">
        <v>32</v>
      </c>
      <c r="E5" s="4" t="s">
        <v>2</v>
      </c>
      <c r="F5" s="3" t="s">
        <v>44</v>
      </c>
      <c r="G5" s="4" t="s">
        <v>32</v>
      </c>
      <c r="H5" s="4" t="s">
        <v>2</v>
      </c>
      <c r="I5" s="3" t="s">
        <v>44</v>
      </c>
      <c r="J5" s="4" t="s">
        <v>32</v>
      </c>
      <c r="K5" s="4" t="s">
        <v>2</v>
      </c>
      <c r="L5" s="3" t="s">
        <v>44</v>
      </c>
      <c r="M5" s="4" t="s">
        <v>32</v>
      </c>
      <c r="N5" s="4" t="s">
        <v>2</v>
      </c>
      <c r="O5" s="5" t="s">
        <v>32</v>
      </c>
    </row>
    <row r="6" spans="1:15" ht="12" customHeight="1" x14ac:dyDescent="0.2">
      <c r="A6" s="6" t="s">
        <v>5</v>
      </c>
      <c r="B6" s="7">
        <f>42+1879+4</f>
        <v>1925</v>
      </c>
      <c r="C6" s="7">
        <f>24.46+3241.51+7.2</f>
        <v>3273.17</v>
      </c>
      <c r="D6" s="7">
        <f>C6*8687*0.179</f>
        <v>5089690.9744099993</v>
      </c>
      <c r="E6" s="7">
        <v>9</v>
      </c>
      <c r="F6" s="7">
        <v>11.88</v>
      </c>
      <c r="G6" s="7">
        <f>F6*8687*0.179</f>
        <v>18473.079240000003</v>
      </c>
      <c r="H6" s="7">
        <v>6378</v>
      </c>
      <c r="I6" s="7">
        <v>2920.43</v>
      </c>
      <c r="J6" s="7">
        <f>I6*8687*0.179</f>
        <v>4541189.7983900001</v>
      </c>
      <c r="K6" s="7">
        <v>957</v>
      </c>
      <c r="L6" s="7">
        <v>618.11</v>
      </c>
      <c r="M6" s="7">
        <f>L6*8687*0.179</f>
        <v>961144.36103000003</v>
      </c>
      <c r="N6" s="7">
        <f>B6+E6+H6+K6</f>
        <v>9269</v>
      </c>
      <c r="O6" s="26">
        <f>D6+G6+J6+M6</f>
        <v>10610498.21307</v>
      </c>
    </row>
    <row r="7" spans="1:15" ht="11.25" customHeight="1" x14ac:dyDescent="0.2">
      <c r="A7" s="6" t="s">
        <v>6</v>
      </c>
      <c r="B7" s="7">
        <v>674</v>
      </c>
      <c r="C7" s="7">
        <v>1935.89</v>
      </c>
      <c r="D7" s="7">
        <f t="shared" ref="D7:D28" si="0">C7*8687*0.179</f>
        <v>3010256.6809699996</v>
      </c>
      <c r="E7" s="7">
        <v>16</v>
      </c>
      <c r="F7" s="7">
        <v>29.06</v>
      </c>
      <c r="G7" s="7">
        <f t="shared" ref="G7:G27" si="1">F7*8687*0.179</f>
        <v>45187.515379999997</v>
      </c>
      <c r="H7" s="7">
        <v>57</v>
      </c>
      <c r="I7" s="7">
        <v>120.57</v>
      </c>
      <c r="J7" s="7">
        <f t="shared" ref="J7:J27" si="2">I7*8687*0.179</f>
        <v>187483.09461</v>
      </c>
      <c r="K7" s="7">
        <v>165</v>
      </c>
      <c r="L7" s="7">
        <v>279.68</v>
      </c>
      <c r="M7" s="7">
        <f t="shared" ref="M7:M28" si="3">L7*8687*0.179</f>
        <v>434894.84863999998</v>
      </c>
      <c r="N7" s="7">
        <f>B7+E7+H7+K7</f>
        <v>912</v>
      </c>
      <c r="O7" s="26">
        <f>D7+G7+J7+M7</f>
        <v>3677822.1395999999</v>
      </c>
    </row>
    <row r="8" spans="1:15" ht="11.25" customHeight="1" x14ac:dyDescent="0.2">
      <c r="A8" s="6" t="s">
        <v>7</v>
      </c>
      <c r="B8" s="7">
        <v>25108</v>
      </c>
      <c r="C8" s="7">
        <v>50888.67</v>
      </c>
      <c r="D8" s="7">
        <f t="shared" si="0"/>
        <v>79130507.855909988</v>
      </c>
      <c r="E8" s="7">
        <v>267</v>
      </c>
      <c r="F8" s="7">
        <v>345.37</v>
      </c>
      <c r="G8" s="7">
        <f t="shared" si="1"/>
        <v>537041.02500999998</v>
      </c>
      <c r="H8" s="7">
        <v>4036</v>
      </c>
      <c r="I8" s="7">
        <v>5711.98</v>
      </c>
      <c r="J8" s="7">
        <f t="shared" si="2"/>
        <v>8881974.6765399985</v>
      </c>
      <c r="K8" s="7">
        <v>7839</v>
      </c>
      <c r="L8" s="7">
        <v>8659.94</v>
      </c>
      <c r="M8" s="7">
        <f t="shared" si="3"/>
        <v>13465972.881619999</v>
      </c>
      <c r="N8" s="7">
        <f t="shared" ref="N8:N27" si="4">B8+E8+H8+K8</f>
        <v>37250</v>
      </c>
      <c r="O8" s="26">
        <f t="shared" ref="O8:O27" si="5">D8+G8+J8+M8</f>
        <v>102015496.43908</v>
      </c>
    </row>
    <row r="9" spans="1:15" ht="21" customHeight="1" x14ac:dyDescent="0.2">
      <c r="A9" s="6" t="s">
        <v>8</v>
      </c>
      <c r="B9" s="7">
        <v>2515</v>
      </c>
      <c r="C9" s="7">
        <v>8941.9500000000007</v>
      </c>
      <c r="D9" s="7">
        <f t="shared" si="0"/>
        <v>13904490.81735</v>
      </c>
      <c r="E9" s="7">
        <v>0</v>
      </c>
      <c r="F9" s="7">
        <v>0</v>
      </c>
      <c r="G9" s="7">
        <f t="shared" si="1"/>
        <v>0</v>
      </c>
      <c r="H9" s="7">
        <v>15</v>
      </c>
      <c r="I9" s="7">
        <v>30.45</v>
      </c>
      <c r="J9" s="7">
        <f t="shared" si="2"/>
        <v>47348.927849999993</v>
      </c>
      <c r="K9" s="7">
        <v>23</v>
      </c>
      <c r="L9" s="7">
        <v>48.49</v>
      </c>
      <c r="M9" s="7">
        <f t="shared" si="3"/>
        <v>75400.640769999998</v>
      </c>
      <c r="N9" s="7">
        <f t="shared" si="4"/>
        <v>2553</v>
      </c>
      <c r="O9" s="26">
        <f t="shared" si="5"/>
        <v>14027240.38597</v>
      </c>
    </row>
    <row r="10" spans="1:15" ht="22.5" customHeight="1" x14ac:dyDescent="0.2">
      <c r="A10" s="6" t="s">
        <v>9</v>
      </c>
      <c r="B10" s="7">
        <v>1002</v>
      </c>
      <c r="C10" s="7">
        <v>2538.79</v>
      </c>
      <c r="D10" s="7">
        <f t="shared" si="0"/>
        <v>3947749.9026699997</v>
      </c>
      <c r="E10" s="7">
        <v>0</v>
      </c>
      <c r="F10" s="7">
        <v>0</v>
      </c>
      <c r="G10" s="7">
        <f t="shared" si="1"/>
        <v>0</v>
      </c>
      <c r="H10" s="7">
        <v>144</v>
      </c>
      <c r="I10" s="7">
        <v>200.43</v>
      </c>
      <c r="J10" s="7">
        <f t="shared" si="2"/>
        <v>311663.23839000001</v>
      </c>
      <c r="K10" s="7">
        <v>295</v>
      </c>
      <c r="L10" s="7">
        <v>415.79</v>
      </c>
      <c r="M10" s="7">
        <f t="shared" si="3"/>
        <v>646542.22366999998</v>
      </c>
      <c r="N10" s="7">
        <f t="shared" si="4"/>
        <v>1441</v>
      </c>
      <c r="O10" s="26">
        <f t="shared" si="5"/>
        <v>4905955.3647299996</v>
      </c>
    </row>
    <row r="11" spans="1:15" x14ac:dyDescent="0.2">
      <c r="A11" s="6" t="s">
        <v>10</v>
      </c>
      <c r="B11" s="7">
        <v>24507</v>
      </c>
      <c r="C11" s="7">
        <v>49590.49</v>
      </c>
      <c r="D11" s="7">
        <f t="shared" si="0"/>
        <v>77111873.00677</v>
      </c>
      <c r="E11" s="7">
        <v>1436</v>
      </c>
      <c r="F11" s="7">
        <v>2038.78</v>
      </c>
      <c r="G11" s="7">
        <f t="shared" si="1"/>
        <v>3170247.8529399997</v>
      </c>
      <c r="H11" s="7">
        <v>4803</v>
      </c>
      <c r="I11" s="7">
        <v>6291.13</v>
      </c>
      <c r="J11" s="7">
        <f t="shared" si="2"/>
        <v>9782537.2894899994</v>
      </c>
      <c r="K11" s="7">
        <v>13095</v>
      </c>
      <c r="L11" s="7">
        <v>13150.22</v>
      </c>
      <c r="M11" s="7">
        <f t="shared" si="3"/>
        <v>20448237.044059999</v>
      </c>
      <c r="N11" s="7">
        <f t="shared" si="4"/>
        <v>43841</v>
      </c>
      <c r="O11" s="26">
        <f t="shared" si="5"/>
        <v>110512895.19325998</v>
      </c>
    </row>
    <row r="12" spans="1:15" ht="23.25" customHeight="1" x14ac:dyDescent="0.2">
      <c r="A12" s="6" t="s">
        <v>11</v>
      </c>
      <c r="B12" s="7">
        <v>52679</v>
      </c>
      <c r="C12" s="7">
        <v>91675.23</v>
      </c>
      <c r="D12" s="7">
        <f t="shared" si="0"/>
        <v>142552507.41878998</v>
      </c>
      <c r="E12" s="7">
        <v>211</v>
      </c>
      <c r="F12" s="7">
        <v>270.7</v>
      </c>
      <c r="G12" s="7">
        <f t="shared" si="1"/>
        <v>420931.19109999994</v>
      </c>
      <c r="H12" s="7">
        <v>8114</v>
      </c>
      <c r="I12" s="7">
        <v>10928.8</v>
      </c>
      <c r="J12" s="7">
        <f t="shared" si="2"/>
        <v>16993988.922399998</v>
      </c>
      <c r="K12" s="7">
        <v>11975</v>
      </c>
      <c r="L12" s="7">
        <v>13133.8</v>
      </c>
      <c r="M12" s="7">
        <f t="shared" si="3"/>
        <v>20422704.387399998</v>
      </c>
      <c r="N12" s="7">
        <f t="shared" si="4"/>
        <v>72979</v>
      </c>
      <c r="O12" s="26">
        <f t="shared" si="5"/>
        <v>180390131.91968998</v>
      </c>
    </row>
    <row r="13" spans="1:15" x14ac:dyDescent="0.2">
      <c r="A13" s="6" t="s">
        <v>12</v>
      </c>
      <c r="B13" s="7">
        <v>10931</v>
      </c>
      <c r="C13" s="7">
        <v>26379.34</v>
      </c>
      <c r="D13" s="7">
        <f t="shared" si="0"/>
        <v>41019161.457819998</v>
      </c>
      <c r="E13" s="7">
        <v>38</v>
      </c>
      <c r="F13" s="7">
        <v>56</v>
      </c>
      <c r="G13" s="7">
        <f t="shared" si="1"/>
        <v>87078.487999999998</v>
      </c>
      <c r="H13" s="7">
        <v>1094</v>
      </c>
      <c r="I13" s="7">
        <v>2907.65</v>
      </c>
      <c r="J13" s="7">
        <f t="shared" si="2"/>
        <v>4521317.24345</v>
      </c>
      <c r="K13" s="7">
        <v>3575</v>
      </c>
      <c r="L13" s="7">
        <v>4732.3</v>
      </c>
      <c r="M13" s="7">
        <f t="shared" si="3"/>
        <v>7358598.7279000003</v>
      </c>
      <c r="N13" s="7">
        <f t="shared" si="4"/>
        <v>15638</v>
      </c>
      <c r="O13" s="26">
        <f t="shared" si="5"/>
        <v>52986155.917169996</v>
      </c>
    </row>
    <row r="14" spans="1:15" ht="21.75" customHeight="1" x14ac:dyDescent="0.2">
      <c r="A14" s="6" t="s">
        <v>13</v>
      </c>
      <c r="B14" s="7">
        <v>19966</v>
      </c>
      <c r="C14" s="7">
        <v>29815.18</v>
      </c>
      <c r="D14" s="7">
        <f t="shared" si="0"/>
        <v>46361799.890139997</v>
      </c>
      <c r="E14" s="7">
        <v>144</v>
      </c>
      <c r="F14" s="7">
        <v>245.08</v>
      </c>
      <c r="G14" s="7">
        <f t="shared" si="1"/>
        <v>381092.78284</v>
      </c>
      <c r="H14" s="7">
        <v>7518</v>
      </c>
      <c r="I14" s="7">
        <v>7083.34</v>
      </c>
      <c r="J14" s="7">
        <f t="shared" si="2"/>
        <v>11014402.449819999</v>
      </c>
      <c r="K14" s="7">
        <v>19696</v>
      </c>
      <c r="L14" s="7">
        <v>14239.26</v>
      </c>
      <c r="M14" s="7">
        <f t="shared" si="3"/>
        <v>22141664.839979999</v>
      </c>
      <c r="N14" s="7">
        <f t="shared" si="4"/>
        <v>47324</v>
      </c>
      <c r="O14" s="26">
        <f t="shared" si="5"/>
        <v>79898959.962779999</v>
      </c>
    </row>
    <row r="15" spans="1:15" ht="12" customHeight="1" x14ac:dyDescent="0.2">
      <c r="A15" s="6" t="s">
        <v>14</v>
      </c>
      <c r="B15" s="7">
        <v>8875</v>
      </c>
      <c r="C15" s="7">
        <v>25232.1</v>
      </c>
      <c r="D15" s="7">
        <f t="shared" si="0"/>
        <v>39235234.233299993</v>
      </c>
      <c r="E15" s="7">
        <v>22</v>
      </c>
      <c r="F15" s="7">
        <v>65.25</v>
      </c>
      <c r="G15" s="7">
        <f t="shared" si="1"/>
        <v>101461.98824999999</v>
      </c>
      <c r="H15" s="7">
        <v>964</v>
      </c>
      <c r="I15" s="7">
        <v>2262.0100000000002</v>
      </c>
      <c r="J15" s="7">
        <f t="shared" si="2"/>
        <v>3517364.4757300001</v>
      </c>
      <c r="K15" s="7">
        <v>1037</v>
      </c>
      <c r="L15" s="7">
        <v>2147.2600000000002</v>
      </c>
      <c r="M15" s="7">
        <f t="shared" si="3"/>
        <v>3338931.3239799999</v>
      </c>
      <c r="N15" s="7">
        <f t="shared" si="4"/>
        <v>10898</v>
      </c>
      <c r="O15" s="26">
        <f t="shared" si="5"/>
        <v>46192992.021259993</v>
      </c>
    </row>
    <row r="16" spans="1:15" ht="12.75" customHeight="1" x14ac:dyDescent="0.2">
      <c r="A16" s="6" t="s">
        <v>15</v>
      </c>
      <c r="B16" s="7">
        <v>17481</v>
      </c>
      <c r="C16" s="7">
        <v>65938.14</v>
      </c>
      <c r="D16" s="7">
        <f t="shared" si="0"/>
        <v>102532027.37021999</v>
      </c>
      <c r="E16" s="7">
        <v>16</v>
      </c>
      <c r="F16" s="7">
        <v>26.04</v>
      </c>
      <c r="G16" s="7">
        <f t="shared" si="1"/>
        <v>40491.496919999998</v>
      </c>
      <c r="H16" s="7">
        <v>957</v>
      </c>
      <c r="I16" s="7">
        <v>2920.99</v>
      </c>
      <c r="J16" s="7">
        <f t="shared" si="2"/>
        <v>4542060.5832699994</v>
      </c>
      <c r="K16" s="7">
        <v>827</v>
      </c>
      <c r="L16" s="7">
        <v>2209.94</v>
      </c>
      <c r="M16" s="7">
        <f t="shared" si="3"/>
        <v>3436397.03162</v>
      </c>
      <c r="N16" s="7">
        <f t="shared" si="4"/>
        <v>19281</v>
      </c>
      <c r="O16" s="26">
        <f t="shared" si="5"/>
        <v>110550976.48202999</v>
      </c>
    </row>
    <row r="17" spans="1:15" x14ac:dyDescent="0.2">
      <c r="A17" s="6" t="s">
        <v>16</v>
      </c>
      <c r="B17" s="7">
        <v>1726</v>
      </c>
      <c r="C17" s="7">
        <v>2947.87</v>
      </c>
      <c r="D17" s="7">
        <f t="shared" si="0"/>
        <v>4583858.257509999</v>
      </c>
      <c r="E17" s="7">
        <v>1</v>
      </c>
      <c r="F17" s="7">
        <v>0.53</v>
      </c>
      <c r="G17" s="7">
        <f t="shared" si="1"/>
        <v>824.13569000000007</v>
      </c>
      <c r="H17" s="7">
        <v>222</v>
      </c>
      <c r="I17" s="7">
        <v>293.67</v>
      </c>
      <c r="J17" s="7">
        <f t="shared" si="2"/>
        <v>456648.92090999999</v>
      </c>
      <c r="K17" s="7">
        <v>561</v>
      </c>
      <c r="L17" s="7">
        <v>695.37</v>
      </c>
      <c r="M17" s="7">
        <f t="shared" si="3"/>
        <v>1081281.57501</v>
      </c>
      <c r="N17" s="7">
        <f t="shared" si="4"/>
        <v>2510</v>
      </c>
      <c r="O17" s="26">
        <f t="shared" si="5"/>
        <v>6122612.8891199986</v>
      </c>
    </row>
    <row r="18" spans="1:15" ht="13.5" customHeight="1" x14ac:dyDescent="0.2">
      <c r="A18" s="6" t="s">
        <v>17</v>
      </c>
      <c r="B18" s="7">
        <v>15932</v>
      </c>
      <c r="C18" s="7">
        <v>37079.269999999997</v>
      </c>
      <c r="D18" s="7">
        <f t="shared" si="0"/>
        <v>57657263.709709987</v>
      </c>
      <c r="E18" s="7">
        <v>35</v>
      </c>
      <c r="F18" s="7">
        <v>63.68</v>
      </c>
      <c r="G18" s="7">
        <f t="shared" si="1"/>
        <v>99020.680640000006</v>
      </c>
      <c r="H18" s="7">
        <v>1968</v>
      </c>
      <c r="I18" s="7">
        <v>4722.9399999999996</v>
      </c>
      <c r="J18" s="7">
        <f t="shared" si="2"/>
        <v>7344044.1806199988</v>
      </c>
      <c r="K18" s="7">
        <v>2491</v>
      </c>
      <c r="L18" s="7">
        <v>4251.3500000000004</v>
      </c>
      <c r="M18" s="7">
        <f t="shared" si="3"/>
        <v>6610734.4635500005</v>
      </c>
      <c r="N18" s="7">
        <f t="shared" si="4"/>
        <v>20426</v>
      </c>
      <c r="O18" s="26">
        <f t="shared" si="5"/>
        <v>71711063.034519985</v>
      </c>
    </row>
    <row r="19" spans="1:15" ht="12" customHeight="1" x14ac:dyDescent="0.2">
      <c r="A19" s="6" t="s">
        <v>18</v>
      </c>
      <c r="B19" s="7">
        <v>4652</v>
      </c>
      <c r="C19" s="7">
        <v>8122.07</v>
      </c>
      <c r="D19" s="7">
        <f t="shared" si="0"/>
        <v>12629599.55411</v>
      </c>
      <c r="E19" s="7">
        <v>14</v>
      </c>
      <c r="F19" s="7">
        <v>38.51</v>
      </c>
      <c r="G19" s="7">
        <f t="shared" si="1"/>
        <v>59882.01023</v>
      </c>
      <c r="H19" s="7">
        <v>1392</v>
      </c>
      <c r="I19" s="7">
        <v>1846.81</v>
      </c>
      <c r="J19" s="7">
        <f t="shared" si="2"/>
        <v>2871739.6861299998</v>
      </c>
      <c r="K19" s="7">
        <v>4284</v>
      </c>
      <c r="L19" s="7">
        <v>4216.63</v>
      </c>
      <c r="M19" s="7">
        <f t="shared" si="3"/>
        <v>6556745.8009900004</v>
      </c>
      <c r="N19" s="7">
        <f t="shared" si="4"/>
        <v>10342</v>
      </c>
      <c r="O19" s="26">
        <f t="shared" si="5"/>
        <v>22117967.051459998</v>
      </c>
    </row>
    <row r="20" spans="1:15" ht="21" customHeight="1" x14ac:dyDescent="0.2">
      <c r="A20" s="6" t="s">
        <v>19</v>
      </c>
      <c r="B20" s="7">
        <v>8979</v>
      </c>
      <c r="C20" s="7">
        <v>20496.099999999999</v>
      </c>
      <c r="D20" s="7">
        <f t="shared" si="0"/>
        <v>31870882.105299998</v>
      </c>
      <c r="E20" s="7">
        <v>57</v>
      </c>
      <c r="F20" s="7">
        <v>181.88</v>
      </c>
      <c r="G20" s="7">
        <f t="shared" si="1"/>
        <v>282818.48924000002</v>
      </c>
      <c r="H20" s="7">
        <v>151</v>
      </c>
      <c r="I20" s="7">
        <v>277.70999999999998</v>
      </c>
      <c r="J20" s="7">
        <f t="shared" si="2"/>
        <v>431831.55183000001</v>
      </c>
      <c r="K20" s="7">
        <v>162</v>
      </c>
      <c r="L20" s="7">
        <v>256.64</v>
      </c>
      <c r="M20" s="7">
        <f t="shared" si="3"/>
        <v>399068.27071999991</v>
      </c>
      <c r="N20" s="7">
        <f t="shared" si="4"/>
        <v>9349</v>
      </c>
      <c r="O20" s="26">
        <f t="shared" si="5"/>
        <v>32984600.417090002</v>
      </c>
    </row>
    <row r="21" spans="1:15" x14ac:dyDescent="0.2">
      <c r="A21" s="6" t="s">
        <v>20</v>
      </c>
      <c r="B21" s="8">
        <v>9796</v>
      </c>
      <c r="C21" s="8">
        <v>18199.25</v>
      </c>
      <c r="D21" s="7">
        <f t="shared" si="0"/>
        <v>28299342.370249998</v>
      </c>
      <c r="E21" s="8">
        <v>16</v>
      </c>
      <c r="F21" s="8">
        <v>18.53</v>
      </c>
      <c r="G21" s="7">
        <f t="shared" si="1"/>
        <v>28813.649690000002</v>
      </c>
      <c r="H21" s="8">
        <v>701</v>
      </c>
      <c r="I21" s="8">
        <v>1349.65</v>
      </c>
      <c r="J21" s="7">
        <f t="shared" si="2"/>
        <v>2098669.3094500001</v>
      </c>
      <c r="K21" s="8">
        <v>1379</v>
      </c>
      <c r="L21" s="8">
        <v>2373.0500000000002</v>
      </c>
      <c r="M21" s="7">
        <f t="shared" si="3"/>
        <v>3690028.67765</v>
      </c>
      <c r="N21" s="7">
        <f t="shared" si="4"/>
        <v>11892</v>
      </c>
      <c r="O21" s="26">
        <f t="shared" si="5"/>
        <v>34116854.007039994</v>
      </c>
    </row>
    <row r="22" spans="1:15" ht="22.5" customHeight="1" x14ac:dyDescent="0.2">
      <c r="A22" s="6" t="s">
        <v>21</v>
      </c>
      <c r="B22" s="16">
        <v>4547</v>
      </c>
      <c r="C22" s="16">
        <v>8049.29</v>
      </c>
      <c r="D22" s="7">
        <f t="shared" si="0"/>
        <v>12516428.619170001</v>
      </c>
      <c r="E22" s="16">
        <v>7</v>
      </c>
      <c r="F22" s="16">
        <v>18</v>
      </c>
      <c r="G22" s="7">
        <f t="shared" si="1"/>
        <v>27989.513999999999</v>
      </c>
      <c r="H22" s="16">
        <v>1085</v>
      </c>
      <c r="I22" s="16">
        <v>1679.29</v>
      </c>
      <c r="J22" s="7">
        <f t="shared" si="2"/>
        <v>2611250.6091700001</v>
      </c>
      <c r="K22" s="16">
        <v>966</v>
      </c>
      <c r="L22" s="16">
        <v>1369.07</v>
      </c>
      <c r="M22" s="7">
        <f t="shared" si="3"/>
        <v>2128866.8851099997</v>
      </c>
      <c r="N22" s="7">
        <f t="shared" si="4"/>
        <v>6605</v>
      </c>
      <c r="O22" s="26">
        <f t="shared" si="5"/>
        <v>17284535.62745</v>
      </c>
    </row>
    <row r="23" spans="1:15" x14ac:dyDescent="0.2">
      <c r="A23" s="10" t="s">
        <v>22</v>
      </c>
      <c r="B23" s="8">
        <v>2795</v>
      </c>
      <c r="C23" s="8">
        <v>4428.54</v>
      </c>
      <c r="D23" s="7">
        <f t="shared" si="0"/>
        <v>6886260.1294199992</v>
      </c>
      <c r="E23" s="8">
        <v>12</v>
      </c>
      <c r="F23" s="8">
        <v>16.13</v>
      </c>
      <c r="G23" s="7">
        <f t="shared" si="1"/>
        <v>25081.714489999998</v>
      </c>
      <c r="H23" s="8">
        <v>824</v>
      </c>
      <c r="I23" s="8">
        <v>879.23</v>
      </c>
      <c r="J23" s="7">
        <f t="shared" si="2"/>
        <v>1367178.9107899999</v>
      </c>
      <c r="K23" s="8">
        <v>1504</v>
      </c>
      <c r="L23" s="8">
        <v>1455.52</v>
      </c>
      <c r="M23" s="7">
        <f t="shared" si="3"/>
        <v>2263294.3009600001</v>
      </c>
      <c r="N23" s="7">
        <f t="shared" si="4"/>
        <v>5135</v>
      </c>
      <c r="O23" s="26">
        <f t="shared" si="5"/>
        <v>10541815.05566</v>
      </c>
    </row>
    <row r="24" spans="1:15" ht="14.25" customHeight="1" x14ac:dyDescent="0.2">
      <c r="A24" s="10" t="s">
        <v>23</v>
      </c>
      <c r="B24" s="8">
        <v>6544</v>
      </c>
      <c r="C24" s="8">
        <v>11249.61</v>
      </c>
      <c r="D24" s="7">
        <f t="shared" si="0"/>
        <v>17492839.810529999</v>
      </c>
      <c r="E24" s="8">
        <v>18</v>
      </c>
      <c r="F24" s="8">
        <v>21.61</v>
      </c>
      <c r="G24" s="7">
        <f t="shared" si="1"/>
        <v>33602.966529999998</v>
      </c>
      <c r="H24" s="8">
        <v>760</v>
      </c>
      <c r="I24" s="8">
        <v>859.11</v>
      </c>
      <c r="J24" s="7">
        <f t="shared" si="2"/>
        <v>1335892.85403</v>
      </c>
      <c r="K24" s="8">
        <v>1285</v>
      </c>
      <c r="L24" s="8">
        <v>1180.22</v>
      </c>
      <c r="M24" s="7">
        <f t="shared" si="3"/>
        <v>1835210.2340599999</v>
      </c>
      <c r="N24" s="7">
        <f t="shared" si="4"/>
        <v>8607</v>
      </c>
      <c r="O24" s="26">
        <f t="shared" si="5"/>
        <v>20697545.865150001</v>
      </c>
    </row>
    <row r="25" spans="1:15" ht="45.75" customHeight="1" x14ac:dyDescent="0.2">
      <c r="A25" s="10" t="s">
        <v>24</v>
      </c>
      <c r="B25" s="16">
        <v>290</v>
      </c>
      <c r="C25" s="16">
        <v>206.51</v>
      </c>
      <c r="D25" s="7">
        <f t="shared" si="0"/>
        <v>321117.47422999999</v>
      </c>
      <c r="E25" s="16">
        <v>3</v>
      </c>
      <c r="F25" s="16">
        <v>1.1299999999999999</v>
      </c>
      <c r="G25" s="7">
        <f t="shared" si="1"/>
        <v>1757.1194899999998</v>
      </c>
      <c r="H25" s="16">
        <v>29979</v>
      </c>
      <c r="I25" s="16">
        <v>14462.98</v>
      </c>
      <c r="J25" s="7">
        <f t="shared" si="2"/>
        <v>22489543.399539996</v>
      </c>
      <c r="K25" s="16">
        <v>406</v>
      </c>
      <c r="L25" s="16">
        <v>195.67</v>
      </c>
      <c r="M25" s="7">
        <f t="shared" si="3"/>
        <v>304261.56690999994</v>
      </c>
      <c r="N25" s="7">
        <f t="shared" si="4"/>
        <v>30678</v>
      </c>
      <c r="O25" s="26">
        <f t="shared" si="5"/>
        <v>23116679.560169995</v>
      </c>
    </row>
    <row r="26" spans="1:15" ht="12.75" customHeight="1" x14ac:dyDescent="0.2">
      <c r="A26" s="10" t="s">
        <v>25</v>
      </c>
      <c r="B26" s="8">
        <v>254</v>
      </c>
      <c r="C26" s="8">
        <v>793.25</v>
      </c>
      <c r="D26" s="7">
        <f t="shared" si="0"/>
        <v>1233482.33225</v>
      </c>
      <c r="E26" s="8">
        <v>54</v>
      </c>
      <c r="F26" s="8">
        <v>138.05000000000001</v>
      </c>
      <c r="G26" s="7">
        <f t="shared" si="1"/>
        <v>214664.02265</v>
      </c>
      <c r="H26" s="8">
        <v>88</v>
      </c>
      <c r="I26" s="8">
        <v>184.63</v>
      </c>
      <c r="J26" s="7">
        <f t="shared" si="2"/>
        <v>287094.66499000002</v>
      </c>
      <c r="K26" s="8">
        <v>67</v>
      </c>
      <c r="L26" s="8">
        <v>153.26</v>
      </c>
      <c r="M26" s="7">
        <f t="shared" si="3"/>
        <v>238315.16197999998</v>
      </c>
      <c r="N26" s="7">
        <f t="shared" si="4"/>
        <v>463</v>
      </c>
      <c r="O26" s="26">
        <f t="shared" si="5"/>
        <v>1973556.18187</v>
      </c>
    </row>
    <row r="27" spans="1:15" ht="13.5" thickBot="1" x14ac:dyDescent="0.25">
      <c r="A27" s="11" t="s">
        <v>26</v>
      </c>
      <c r="B27" s="12">
        <v>42</v>
      </c>
      <c r="C27" s="12">
        <v>24.53</v>
      </c>
      <c r="D27" s="33">
        <f t="shared" si="0"/>
        <v>38143.487690000002</v>
      </c>
      <c r="E27" s="12">
        <v>0</v>
      </c>
      <c r="F27" s="12">
        <v>0</v>
      </c>
      <c r="G27" s="33">
        <f t="shared" si="1"/>
        <v>0</v>
      </c>
      <c r="H27" s="12">
        <v>138</v>
      </c>
      <c r="I27" s="12">
        <v>52.26</v>
      </c>
      <c r="J27" s="33">
        <f t="shared" si="2"/>
        <v>81262.888979999989</v>
      </c>
      <c r="K27" s="12">
        <v>115</v>
      </c>
      <c r="L27" s="12">
        <v>46.17</v>
      </c>
      <c r="M27" s="33">
        <f t="shared" si="3"/>
        <v>71793.103410000011</v>
      </c>
      <c r="N27" s="33">
        <f t="shared" si="4"/>
        <v>295</v>
      </c>
      <c r="O27" s="47">
        <f t="shared" si="5"/>
        <v>191199.48008000001</v>
      </c>
    </row>
    <row r="28" spans="1:15" ht="13.5" thickBot="1" x14ac:dyDescent="0.25">
      <c r="A28" s="14" t="s">
        <v>27</v>
      </c>
      <c r="B28" s="25">
        <f>SUM(B6:B27)</f>
        <v>221220</v>
      </c>
      <c r="C28" s="46">
        <f>SUM(C6:C27)</f>
        <v>467805.24</v>
      </c>
      <c r="D28" s="48">
        <f t="shared" si="0"/>
        <v>727424517.45851994</v>
      </c>
      <c r="E28" s="25">
        <f t="shared" ref="E28:L28" si="6">SUM(E6:E27)</f>
        <v>2376</v>
      </c>
      <c r="F28" s="46">
        <f t="shared" si="6"/>
        <v>3586.2100000000009</v>
      </c>
      <c r="G28" s="25">
        <f t="shared" si="6"/>
        <v>5576459.7223300012</v>
      </c>
      <c r="H28" s="25">
        <f t="shared" si="6"/>
        <v>71388</v>
      </c>
      <c r="I28" s="46">
        <f t="shared" si="6"/>
        <v>67986.06</v>
      </c>
      <c r="J28" s="25">
        <f t="shared" si="6"/>
        <v>105716487.67637998</v>
      </c>
      <c r="K28" s="25">
        <f t="shared" si="6"/>
        <v>72704</v>
      </c>
      <c r="L28" s="25">
        <f t="shared" si="6"/>
        <v>75827.74000000002</v>
      </c>
      <c r="M28" s="48">
        <f t="shared" si="3"/>
        <v>117910088.35102001</v>
      </c>
      <c r="N28" s="25">
        <f>SUM(N6:N27)</f>
        <v>367688</v>
      </c>
      <c r="O28" s="27">
        <f>SUM(O6:O27)</f>
        <v>956627553.20824993</v>
      </c>
    </row>
    <row r="29" spans="1:15" ht="12.75" customHeight="1" x14ac:dyDescent="0.2">
      <c r="A29" s="91" t="s">
        <v>30</v>
      </c>
      <c r="B29" s="91"/>
      <c r="C29" s="91"/>
      <c r="D29" s="91"/>
      <c r="E29" s="91"/>
      <c r="F29" s="91"/>
      <c r="G29" s="91"/>
      <c r="H29" s="91"/>
      <c r="I29" s="91"/>
      <c r="J29" s="91"/>
      <c r="K29" s="91"/>
      <c r="L29" s="91"/>
      <c r="M29" s="91"/>
      <c r="N29" s="91"/>
      <c r="O29" s="91"/>
    </row>
    <row r="30" spans="1:15" ht="12.75" customHeight="1" x14ac:dyDescent="0.2">
      <c r="A30" s="92" t="s">
        <v>31</v>
      </c>
      <c r="B30" s="92"/>
      <c r="C30" s="92"/>
      <c r="D30" s="92"/>
      <c r="E30" s="92"/>
      <c r="F30" s="92"/>
      <c r="G30" s="92"/>
      <c r="H30" s="92"/>
      <c r="I30" s="92"/>
      <c r="J30" s="92"/>
      <c r="K30" s="92"/>
      <c r="L30" s="92"/>
      <c r="M30" s="92"/>
      <c r="N30" s="92"/>
      <c r="O30" s="92"/>
    </row>
    <row r="31" spans="1:15" ht="13.5" x14ac:dyDescent="0.2">
      <c r="A31" s="23" t="s">
        <v>36</v>
      </c>
    </row>
    <row r="32" spans="1:15" ht="13.5" x14ac:dyDescent="0.2">
      <c r="A32" s="23" t="s">
        <v>38</v>
      </c>
    </row>
    <row r="33" spans="1:15" x14ac:dyDescent="0.2">
      <c r="A33" s="15" t="s">
        <v>43</v>
      </c>
      <c r="K33" s="1"/>
      <c r="L33" s="1"/>
      <c r="M33" s="24" t="s">
        <v>33</v>
      </c>
      <c r="N33" s="1"/>
      <c r="O33" s="1"/>
    </row>
    <row r="34" spans="1:15" ht="15.75" customHeight="1" x14ac:dyDescent="0.2">
      <c r="A34" s="22">
        <v>40795</v>
      </c>
      <c r="K34" s="1"/>
      <c r="L34" s="1"/>
      <c r="M34" s="24" t="s">
        <v>34</v>
      </c>
      <c r="N34" s="1"/>
      <c r="O34" s="1"/>
    </row>
  </sheetData>
  <mergeCells count="11">
    <mergeCell ref="A1:O1"/>
    <mergeCell ref="N4:O4"/>
    <mergeCell ref="B2:O2"/>
    <mergeCell ref="B3:O3"/>
    <mergeCell ref="A30:O30"/>
    <mergeCell ref="A29:O29"/>
    <mergeCell ref="A3:A5"/>
    <mergeCell ref="B4:D4"/>
    <mergeCell ref="E4:G4"/>
    <mergeCell ref="H4:J4"/>
    <mergeCell ref="K4:M4"/>
  </mergeCells>
  <phoneticPr fontId="0" type="noConversion"/>
  <pageMargins left="0" right="0" top="0.19685039370078741" bottom="0"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opLeftCell="E25" workbookViewId="0">
      <selection activeCell="A36" sqref="A36"/>
    </sheetView>
  </sheetViews>
  <sheetFormatPr defaultRowHeight="12.75" x14ac:dyDescent="0.2"/>
  <cols>
    <col min="1" max="1" width="41.85546875" customWidth="1"/>
    <col min="3" max="3" width="10.28515625" customWidth="1"/>
    <col min="4" max="4" width="12" customWidth="1"/>
    <col min="6" max="6" width="10" customWidth="1"/>
    <col min="7" max="7" width="11.85546875" customWidth="1"/>
    <col min="9" max="9" width="10.140625" customWidth="1"/>
    <col min="10" max="10" width="12" customWidth="1"/>
    <col min="12" max="12" width="10" customWidth="1"/>
    <col min="13" max="13" width="11.5703125" customWidth="1"/>
    <col min="15" max="15" width="11.7109375" customWidth="1"/>
  </cols>
  <sheetData>
    <row r="1" spans="1:15" ht="27" customHeight="1" thickBot="1" x14ac:dyDescent="0.25">
      <c r="A1" s="111" t="s">
        <v>49</v>
      </c>
      <c r="B1" s="111"/>
      <c r="C1" s="111"/>
      <c r="D1" s="111"/>
      <c r="E1" s="111"/>
      <c r="F1" s="111"/>
      <c r="G1" s="111"/>
      <c r="H1" s="111"/>
      <c r="I1" s="111"/>
      <c r="J1" s="111"/>
      <c r="K1" s="111"/>
      <c r="L1" s="111"/>
      <c r="M1" s="111"/>
      <c r="N1" s="111"/>
      <c r="O1" s="111"/>
    </row>
    <row r="2" spans="1:15" ht="16.5" customHeight="1" x14ac:dyDescent="0.2">
      <c r="A2" s="2" t="s">
        <v>4</v>
      </c>
      <c r="B2" s="120">
        <v>2011</v>
      </c>
      <c r="C2" s="121"/>
      <c r="D2" s="121"/>
      <c r="E2" s="121"/>
      <c r="F2" s="121"/>
      <c r="G2" s="121"/>
      <c r="H2" s="121"/>
      <c r="I2" s="121"/>
      <c r="J2" s="121"/>
      <c r="K2" s="121"/>
      <c r="L2" s="121"/>
      <c r="M2" s="121"/>
      <c r="N2" s="121"/>
      <c r="O2" s="122"/>
    </row>
    <row r="3" spans="1:15" ht="17.25" customHeight="1" x14ac:dyDescent="0.2">
      <c r="A3" s="97" t="s">
        <v>40</v>
      </c>
      <c r="B3" s="100" t="s">
        <v>1</v>
      </c>
      <c r="C3" s="101"/>
      <c r="D3" s="101"/>
      <c r="E3" s="101"/>
      <c r="F3" s="101"/>
      <c r="G3" s="101"/>
      <c r="H3" s="101"/>
      <c r="I3" s="101"/>
      <c r="J3" s="101"/>
      <c r="K3" s="101"/>
      <c r="L3" s="101"/>
      <c r="M3" s="101"/>
      <c r="N3" s="101"/>
      <c r="O3" s="102"/>
    </row>
    <row r="4" spans="1:15" ht="24" customHeight="1" x14ac:dyDescent="0.2">
      <c r="A4" s="98"/>
      <c r="B4" s="103" t="s">
        <v>0</v>
      </c>
      <c r="C4" s="103"/>
      <c r="D4" s="89"/>
      <c r="E4" s="89" t="s">
        <v>3</v>
      </c>
      <c r="F4" s="89"/>
      <c r="G4" s="89"/>
      <c r="H4" s="89" t="s">
        <v>28</v>
      </c>
      <c r="I4" s="89"/>
      <c r="J4" s="89"/>
      <c r="K4" s="89" t="s">
        <v>29</v>
      </c>
      <c r="L4" s="89"/>
      <c r="M4" s="89"/>
      <c r="N4" s="89" t="s">
        <v>39</v>
      </c>
      <c r="O4" s="90"/>
    </row>
    <row r="5" spans="1:15" ht="22.5" customHeight="1" x14ac:dyDescent="0.2">
      <c r="A5" s="99"/>
      <c r="B5" s="3" t="s">
        <v>2</v>
      </c>
      <c r="C5" s="3" t="s">
        <v>44</v>
      </c>
      <c r="D5" s="4" t="s">
        <v>32</v>
      </c>
      <c r="E5" s="4" t="s">
        <v>2</v>
      </c>
      <c r="F5" s="3" t="s">
        <v>44</v>
      </c>
      <c r="G5" s="4" t="s">
        <v>32</v>
      </c>
      <c r="H5" s="4" t="s">
        <v>2</v>
      </c>
      <c r="I5" s="3" t="s">
        <v>44</v>
      </c>
      <c r="J5" s="4" t="s">
        <v>32</v>
      </c>
      <c r="K5" s="4" t="s">
        <v>2</v>
      </c>
      <c r="L5" s="3" t="s">
        <v>44</v>
      </c>
      <c r="M5" s="4" t="s">
        <v>32</v>
      </c>
      <c r="N5" s="4" t="s">
        <v>2</v>
      </c>
      <c r="O5" s="5" t="s">
        <v>32</v>
      </c>
    </row>
    <row r="6" spans="1:15" ht="12" customHeight="1" x14ac:dyDescent="0.2">
      <c r="A6" s="6" t="s">
        <v>5</v>
      </c>
      <c r="B6" s="7">
        <f>31+2007+4</f>
        <v>2042</v>
      </c>
      <c r="C6" s="7">
        <f>18.01+3391.41+7.92</f>
        <v>3417.34</v>
      </c>
      <c r="D6" s="7">
        <f>C6*8886*0.179</f>
        <v>5435600.4999599997</v>
      </c>
      <c r="E6" s="7">
        <v>9</v>
      </c>
      <c r="F6" s="50">
        <v>11.99</v>
      </c>
      <c r="G6" s="7">
        <f>F6*8886*0.179</f>
        <v>19071.22206</v>
      </c>
      <c r="H6" s="7">
        <v>5913</v>
      </c>
      <c r="I6" s="50">
        <v>2781.83</v>
      </c>
      <c r="J6" s="7">
        <f>I6*8886*0.179</f>
        <v>4424762.10702</v>
      </c>
      <c r="K6" s="7">
        <v>1202</v>
      </c>
      <c r="L6" s="50">
        <v>778.43</v>
      </c>
      <c r="M6" s="7">
        <f>L6*8886*0.179</f>
        <v>1238166.0874199998</v>
      </c>
      <c r="N6" s="7">
        <f>B6+E6+H6+K6</f>
        <v>9166</v>
      </c>
      <c r="O6" s="26">
        <f>D6+G6+J6+M6</f>
        <v>11117599.916459998</v>
      </c>
    </row>
    <row r="7" spans="1:15" ht="12" customHeight="1" x14ac:dyDescent="0.2">
      <c r="A7" s="6" t="s">
        <v>6</v>
      </c>
      <c r="B7" s="7">
        <v>666</v>
      </c>
      <c r="C7" s="7">
        <f>1.45+1886.11+4.31+0.92</f>
        <v>1892.79</v>
      </c>
      <c r="D7" s="7">
        <f t="shared" ref="D7:D27" si="0">C7*8886*0.179</f>
        <v>3010660.41726</v>
      </c>
      <c r="E7" s="7">
        <v>10</v>
      </c>
      <c r="F7" s="50">
        <v>20.03</v>
      </c>
      <c r="G7" s="7">
        <f t="shared" ref="G7:G27" si="1">F7*8886*0.179</f>
        <v>31859.597820000003</v>
      </c>
      <c r="H7" s="7">
        <v>52</v>
      </c>
      <c r="I7" s="50">
        <v>128.19999999999999</v>
      </c>
      <c r="J7" s="7">
        <f t="shared" ref="J7:J27" si="2">I7*8886*0.179</f>
        <v>203914.15079999997</v>
      </c>
      <c r="K7" s="7">
        <v>142</v>
      </c>
      <c r="L7" s="50">
        <v>275.05</v>
      </c>
      <c r="M7" s="7">
        <f t="shared" ref="M7:M27" si="3">L7*8886*0.179</f>
        <v>437492.87970000005</v>
      </c>
      <c r="N7" s="7">
        <f>B7+E7+H7+K7</f>
        <v>870</v>
      </c>
      <c r="O7" s="26">
        <f>D7+G7+J7+M7</f>
        <v>3683927.0455799997</v>
      </c>
    </row>
    <row r="8" spans="1:15" ht="12" customHeight="1" x14ac:dyDescent="0.2">
      <c r="A8" s="6" t="s">
        <v>7</v>
      </c>
      <c r="B8" s="7">
        <f>116+23793+9+67</f>
        <v>23985</v>
      </c>
      <c r="C8" s="7">
        <f>203.01+47303.58+16.71+164.13</f>
        <v>47687.43</v>
      </c>
      <c r="D8" s="7">
        <f t="shared" si="0"/>
        <v>75851340.033419997</v>
      </c>
      <c r="E8" s="7">
        <v>206</v>
      </c>
      <c r="F8" s="50">
        <v>272</v>
      </c>
      <c r="G8" s="7">
        <f t="shared" si="1"/>
        <v>432641.56799999997</v>
      </c>
      <c r="H8" s="7">
        <v>3611</v>
      </c>
      <c r="I8" s="50">
        <v>5031.83</v>
      </c>
      <c r="J8" s="7">
        <f t="shared" si="2"/>
        <v>8003598.60702</v>
      </c>
      <c r="K8" s="7">
        <v>8459</v>
      </c>
      <c r="L8" s="50">
        <v>9319.16</v>
      </c>
      <c r="M8" s="7">
        <f t="shared" si="3"/>
        <v>14822999.981040001</v>
      </c>
      <c r="N8" s="7">
        <f t="shared" ref="N8:N27" si="4">B8+E8+H8+K8</f>
        <v>36261</v>
      </c>
      <c r="O8" s="26">
        <f t="shared" ref="O8:O27" si="5">D8+G8+J8+M8</f>
        <v>99110580.189480007</v>
      </c>
    </row>
    <row r="9" spans="1:15" ht="20.25" customHeight="1" x14ac:dyDescent="0.2">
      <c r="A9" s="6" t="s">
        <v>8</v>
      </c>
      <c r="B9" s="7">
        <v>2475</v>
      </c>
      <c r="C9" s="7">
        <f>14.97+8865.62+35.42</f>
        <v>8916.01</v>
      </c>
      <c r="D9" s="7">
        <f t="shared" si="0"/>
        <v>14181752.009939998</v>
      </c>
      <c r="E9" s="7">
        <v>0</v>
      </c>
      <c r="F9" s="50">
        <v>0</v>
      </c>
      <c r="G9" s="7">
        <f t="shared" si="1"/>
        <v>0</v>
      </c>
      <c r="H9" s="7">
        <v>19</v>
      </c>
      <c r="I9" s="50">
        <v>39.15</v>
      </c>
      <c r="J9" s="7">
        <f t="shared" si="2"/>
        <v>62271.755099999988</v>
      </c>
      <c r="K9" s="7">
        <v>29</v>
      </c>
      <c r="L9" s="50">
        <v>61.56</v>
      </c>
      <c r="M9" s="7">
        <f t="shared" si="3"/>
        <v>97916.966639999999</v>
      </c>
      <c r="N9" s="7">
        <f t="shared" si="4"/>
        <v>2523</v>
      </c>
      <c r="O9" s="26">
        <f t="shared" si="5"/>
        <v>14341940.731679998</v>
      </c>
    </row>
    <row r="10" spans="1:15" ht="21" customHeight="1" x14ac:dyDescent="0.2">
      <c r="A10" s="6" t="s">
        <v>9</v>
      </c>
      <c r="B10" s="7">
        <v>1035</v>
      </c>
      <c r="C10" s="7">
        <f>2.28+2657.14+1.08+4.51</f>
        <v>2665.01</v>
      </c>
      <c r="D10" s="7">
        <f t="shared" si="0"/>
        <v>4238948.9159400007</v>
      </c>
      <c r="E10" s="7">
        <v>0</v>
      </c>
      <c r="F10" s="50">
        <v>0</v>
      </c>
      <c r="G10" s="7">
        <f t="shared" si="1"/>
        <v>0</v>
      </c>
      <c r="H10" s="7">
        <v>149</v>
      </c>
      <c r="I10" s="50">
        <v>195.66</v>
      </c>
      <c r="J10" s="7">
        <f t="shared" si="2"/>
        <v>311215.62203999999</v>
      </c>
      <c r="K10" s="7">
        <v>360</v>
      </c>
      <c r="L10" s="50">
        <v>465.46</v>
      </c>
      <c r="M10" s="7">
        <f t="shared" si="3"/>
        <v>740357.88323999988</v>
      </c>
      <c r="N10" s="7">
        <f t="shared" si="4"/>
        <v>1544</v>
      </c>
      <c r="O10" s="26">
        <f t="shared" si="5"/>
        <v>5290522.4212200008</v>
      </c>
    </row>
    <row r="11" spans="1:15" ht="12" customHeight="1" x14ac:dyDescent="0.2">
      <c r="A11" s="6" t="s">
        <v>10</v>
      </c>
      <c r="B11" s="7">
        <f>92+22807+3+96</f>
        <v>22998</v>
      </c>
      <c r="C11" s="7">
        <f>171.76+45272.39+9.59+235.02</f>
        <v>45688.759999999995</v>
      </c>
      <c r="D11" s="7">
        <f t="shared" si="0"/>
        <v>72672267.523439988</v>
      </c>
      <c r="E11" s="7">
        <v>1053</v>
      </c>
      <c r="F11" s="50">
        <v>1492.8</v>
      </c>
      <c r="G11" s="7">
        <f t="shared" si="1"/>
        <v>2374438.7231999999</v>
      </c>
      <c r="H11" s="7">
        <v>4191</v>
      </c>
      <c r="I11" s="50">
        <v>5415.69</v>
      </c>
      <c r="J11" s="7">
        <f t="shared" si="2"/>
        <v>8614164.0198599994</v>
      </c>
      <c r="K11" s="7">
        <v>12762</v>
      </c>
      <c r="L11" s="50">
        <v>12726.09</v>
      </c>
      <c r="M11" s="7">
        <f t="shared" si="3"/>
        <v>20242042.397459999</v>
      </c>
      <c r="N11" s="7">
        <f t="shared" si="4"/>
        <v>41004</v>
      </c>
      <c r="O11" s="26">
        <f t="shared" si="5"/>
        <v>103902912.66395998</v>
      </c>
    </row>
    <row r="12" spans="1:15" ht="21" customHeight="1" x14ac:dyDescent="0.2">
      <c r="A12" s="6" t="s">
        <v>11</v>
      </c>
      <c r="B12" s="7">
        <f>290+50934+22+159</f>
        <v>51405</v>
      </c>
      <c r="C12" s="7">
        <f>475.06+88168.26+41.4+359.14</f>
        <v>89043.859999999986</v>
      </c>
      <c r="D12" s="7">
        <f t="shared" si="0"/>
        <v>141632629.45283997</v>
      </c>
      <c r="E12" s="7">
        <v>187</v>
      </c>
      <c r="F12" s="50">
        <v>252.29</v>
      </c>
      <c r="G12" s="7">
        <f t="shared" si="1"/>
        <v>401290.96025999996</v>
      </c>
      <c r="H12" s="7">
        <v>7357</v>
      </c>
      <c r="I12" s="50">
        <v>10079.120000000001</v>
      </c>
      <c r="J12" s="7">
        <f t="shared" si="2"/>
        <v>16031787.797280001</v>
      </c>
      <c r="K12" s="7">
        <v>13351</v>
      </c>
      <c r="L12" s="50">
        <v>14647.64</v>
      </c>
      <c r="M12" s="7">
        <f t="shared" si="3"/>
        <v>23298448.298159998</v>
      </c>
      <c r="N12" s="7">
        <f t="shared" si="4"/>
        <v>72300</v>
      </c>
      <c r="O12" s="26">
        <f t="shared" si="5"/>
        <v>181364156.50853997</v>
      </c>
    </row>
    <row r="13" spans="1:15" ht="12" customHeight="1" x14ac:dyDescent="0.2">
      <c r="A13" s="6" t="s">
        <v>12</v>
      </c>
      <c r="B13" s="7">
        <f>57+10735+4+42</f>
        <v>10838</v>
      </c>
      <c r="C13" s="7">
        <f>128.39+25700.4+7+138.73</f>
        <v>25974.52</v>
      </c>
      <c r="D13" s="7">
        <f t="shared" si="0"/>
        <v>41314915.66488</v>
      </c>
      <c r="E13" s="7">
        <v>32</v>
      </c>
      <c r="F13" s="50">
        <v>55.61</v>
      </c>
      <c r="G13" s="7">
        <f t="shared" si="1"/>
        <v>88452.932339999999</v>
      </c>
      <c r="H13" s="7">
        <v>1089</v>
      </c>
      <c r="I13" s="50">
        <v>2937.39</v>
      </c>
      <c r="J13" s="7">
        <f t="shared" si="2"/>
        <v>4672194.9096599994</v>
      </c>
      <c r="K13" s="7">
        <v>4887</v>
      </c>
      <c r="L13" s="50">
        <v>5910.99</v>
      </c>
      <c r="M13" s="7">
        <f t="shared" si="3"/>
        <v>9401985.2280599996</v>
      </c>
      <c r="N13" s="7">
        <f t="shared" si="4"/>
        <v>16846</v>
      </c>
      <c r="O13" s="26">
        <f t="shared" si="5"/>
        <v>55477548.73494</v>
      </c>
    </row>
    <row r="14" spans="1:15" ht="21" customHeight="1" x14ac:dyDescent="0.2">
      <c r="A14" s="6" t="s">
        <v>13</v>
      </c>
      <c r="B14" s="7">
        <f>112+20080+3+35</f>
        <v>20230</v>
      </c>
      <c r="C14" s="7">
        <f>122.38+29761.3+2.78+65.67</f>
        <v>29952.129999999997</v>
      </c>
      <c r="D14" s="7">
        <f t="shared" si="0"/>
        <v>47641678.265219994</v>
      </c>
      <c r="E14" s="7">
        <v>153</v>
      </c>
      <c r="F14" s="50">
        <v>253.48</v>
      </c>
      <c r="G14" s="7">
        <f t="shared" si="1"/>
        <v>403183.76711999997</v>
      </c>
      <c r="H14" s="7">
        <v>6308</v>
      </c>
      <c r="I14" s="50">
        <v>6270.82</v>
      </c>
      <c r="J14" s="7">
        <f t="shared" si="2"/>
        <v>9974328.6670799982</v>
      </c>
      <c r="K14" s="7">
        <v>22529</v>
      </c>
      <c r="L14" s="50">
        <v>16329.86</v>
      </c>
      <c r="M14" s="7">
        <f t="shared" si="3"/>
        <v>25974177.33684</v>
      </c>
      <c r="N14" s="7">
        <f t="shared" si="4"/>
        <v>49220</v>
      </c>
      <c r="O14" s="26">
        <f t="shared" si="5"/>
        <v>83993368.036259994</v>
      </c>
    </row>
    <row r="15" spans="1:15" ht="12" customHeight="1" x14ac:dyDescent="0.2">
      <c r="A15" s="6" t="s">
        <v>14</v>
      </c>
      <c r="B15" s="7">
        <f>46+8568+5+50</f>
        <v>8669</v>
      </c>
      <c r="C15" s="7">
        <f>125.98+25053.97+10.92+168.27</f>
        <v>25359.14</v>
      </c>
      <c r="D15" s="7">
        <f t="shared" si="0"/>
        <v>40336095.929159999</v>
      </c>
      <c r="E15" s="7">
        <v>27</v>
      </c>
      <c r="F15" s="50">
        <v>73.400000000000006</v>
      </c>
      <c r="G15" s="7">
        <f t="shared" si="1"/>
        <v>116749.5996</v>
      </c>
      <c r="H15" s="7">
        <v>899</v>
      </c>
      <c r="I15" s="50">
        <v>2328.37</v>
      </c>
      <c r="J15" s="7">
        <f t="shared" si="2"/>
        <v>3703491.3517799997</v>
      </c>
      <c r="K15" s="7">
        <v>1110</v>
      </c>
      <c r="L15" s="50">
        <v>2358.7600000000002</v>
      </c>
      <c r="M15" s="7">
        <f t="shared" si="3"/>
        <v>3751829.5034400006</v>
      </c>
      <c r="N15" s="7">
        <f t="shared" si="4"/>
        <v>10705</v>
      </c>
      <c r="O15" s="26">
        <f t="shared" si="5"/>
        <v>47908166.383979999</v>
      </c>
    </row>
    <row r="16" spans="1:15" ht="13.5" customHeight="1" x14ac:dyDescent="0.2">
      <c r="A16" s="6" t="s">
        <v>15</v>
      </c>
      <c r="B16" s="7">
        <f>52+17577+9+82</f>
        <v>17720</v>
      </c>
      <c r="C16" s="7">
        <f>205.89+67046.03+35.38+365.07</f>
        <v>67652.37000000001</v>
      </c>
      <c r="D16" s="7">
        <f t="shared" si="0"/>
        <v>107607453.80778</v>
      </c>
      <c r="E16" s="7">
        <v>15</v>
      </c>
      <c r="F16" s="50">
        <v>26.54</v>
      </c>
      <c r="G16" s="7">
        <f t="shared" si="1"/>
        <v>42214.364759999997</v>
      </c>
      <c r="H16" s="7">
        <v>1089</v>
      </c>
      <c r="I16" s="50">
        <v>3470.92</v>
      </c>
      <c r="J16" s="7">
        <f t="shared" si="2"/>
        <v>5520824.5264799995</v>
      </c>
      <c r="K16" s="7">
        <v>973</v>
      </c>
      <c r="L16" s="50">
        <v>2583.94</v>
      </c>
      <c r="M16" s="7">
        <f t="shared" si="3"/>
        <v>4109999.4603599999</v>
      </c>
      <c r="N16" s="7">
        <f t="shared" si="4"/>
        <v>19797</v>
      </c>
      <c r="O16" s="26">
        <f t="shared" si="5"/>
        <v>117280492.15938</v>
      </c>
    </row>
    <row r="17" spans="1:15" ht="13.5" customHeight="1" x14ac:dyDescent="0.2">
      <c r="A17" s="6" t="s">
        <v>16</v>
      </c>
      <c r="B17" s="7">
        <v>1735</v>
      </c>
      <c r="C17" s="7">
        <f>11.48+2902.78+2.42+11.02</f>
        <v>2927.7000000000003</v>
      </c>
      <c r="D17" s="7">
        <f t="shared" si="0"/>
        <v>4656782.0537999999</v>
      </c>
      <c r="E17" s="7">
        <v>1</v>
      </c>
      <c r="F17" s="50">
        <v>0.57999999999999996</v>
      </c>
      <c r="G17" s="7">
        <f t="shared" si="1"/>
        <v>922.54451999999981</v>
      </c>
      <c r="H17" s="7">
        <v>241</v>
      </c>
      <c r="I17" s="50">
        <v>311.25</v>
      </c>
      <c r="J17" s="7">
        <f t="shared" si="2"/>
        <v>495072.38250000001</v>
      </c>
      <c r="K17" s="7">
        <v>601</v>
      </c>
      <c r="L17" s="50">
        <v>713.09</v>
      </c>
      <c r="M17" s="7">
        <f t="shared" si="3"/>
        <v>1134236.6754600001</v>
      </c>
      <c r="N17" s="7">
        <f t="shared" si="4"/>
        <v>2578</v>
      </c>
      <c r="O17" s="26">
        <f t="shared" si="5"/>
        <v>6287013.6562799998</v>
      </c>
    </row>
    <row r="18" spans="1:15" ht="13.5" customHeight="1" x14ac:dyDescent="0.2">
      <c r="A18" s="6" t="s">
        <v>17</v>
      </c>
      <c r="B18" s="7">
        <f>104+16576+11+78</f>
        <v>16769</v>
      </c>
      <c r="C18" s="7">
        <f>271.08+38688.46+30.94+254.4</f>
        <v>39244.880000000005</v>
      </c>
      <c r="D18" s="7">
        <f t="shared" si="0"/>
        <v>62422670.658720009</v>
      </c>
      <c r="E18" s="7">
        <v>33</v>
      </c>
      <c r="F18" s="50">
        <v>56.45</v>
      </c>
      <c r="G18" s="7">
        <f t="shared" si="1"/>
        <v>89789.031300000002</v>
      </c>
      <c r="H18" s="7">
        <v>2063</v>
      </c>
      <c r="I18" s="50">
        <v>5125.6000000000004</v>
      </c>
      <c r="J18" s="7">
        <f t="shared" si="2"/>
        <v>8152748.6063999999</v>
      </c>
      <c r="K18" s="7">
        <v>2779</v>
      </c>
      <c r="L18" s="50">
        <v>4803.3999999999996</v>
      </c>
      <c r="M18" s="7">
        <f t="shared" si="3"/>
        <v>7640259.2195999995</v>
      </c>
      <c r="N18" s="7">
        <f t="shared" si="4"/>
        <v>21644</v>
      </c>
      <c r="O18" s="26">
        <f t="shared" si="5"/>
        <v>78305467.51602</v>
      </c>
    </row>
    <row r="19" spans="1:15" ht="12" customHeight="1" x14ac:dyDescent="0.2">
      <c r="A19" s="6" t="s">
        <v>18</v>
      </c>
      <c r="B19" s="7">
        <f>33+4646+8+20</f>
        <v>4707</v>
      </c>
      <c r="C19" s="7">
        <f>51.47+8083.74+23.68+33.22</f>
        <v>8192.11</v>
      </c>
      <c r="D19" s="7">
        <f t="shared" si="0"/>
        <v>13030321.01334</v>
      </c>
      <c r="E19" s="7">
        <v>18</v>
      </c>
      <c r="F19" s="50">
        <v>39.549999999999997</v>
      </c>
      <c r="G19" s="7">
        <f t="shared" si="1"/>
        <v>62907.992699999995</v>
      </c>
      <c r="H19" s="7">
        <v>1092</v>
      </c>
      <c r="I19" s="50">
        <v>1414.54</v>
      </c>
      <c r="J19" s="7">
        <f t="shared" si="2"/>
        <v>2249958.8367599999</v>
      </c>
      <c r="K19" s="7">
        <v>4328</v>
      </c>
      <c r="L19" s="50">
        <v>3975.76</v>
      </c>
      <c r="M19" s="7">
        <f t="shared" si="3"/>
        <v>6323820.0014399998</v>
      </c>
      <c r="N19" s="7">
        <f t="shared" si="4"/>
        <v>10145</v>
      </c>
      <c r="O19" s="26">
        <f t="shared" si="5"/>
        <v>21667007.844239999</v>
      </c>
    </row>
    <row r="20" spans="1:15" ht="22.5" customHeight="1" x14ac:dyDescent="0.2">
      <c r="A20" s="6" t="s">
        <v>19</v>
      </c>
      <c r="B20" s="7">
        <f>13+9654+2+32</f>
        <v>9701</v>
      </c>
      <c r="C20" s="7">
        <f>25.66+21610.37+5.35+73.19</f>
        <v>21714.569999999996</v>
      </c>
      <c r="D20" s="7">
        <f t="shared" si="0"/>
        <v>34539064.754579991</v>
      </c>
      <c r="E20" s="7">
        <v>54</v>
      </c>
      <c r="F20" s="50">
        <v>183.34</v>
      </c>
      <c r="G20" s="7">
        <f t="shared" si="1"/>
        <v>291619.50396</v>
      </c>
      <c r="H20" s="7">
        <v>194</v>
      </c>
      <c r="I20" s="50">
        <v>303.39999999999998</v>
      </c>
      <c r="J20" s="7">
        <f t="shared" si="2"/>
        <v>482586.21959999995</v>
      </c>
      <c r="K20" s="7">
        <v>214</v>
      </c>
      <c r="L20" s="50">
        <v>335.2</v>
      </c>
      <c r="M20" s="7">
        <f t="shared" si="3"/>
        <v>533167.10879999993</v>
      </c>
      <c r="N20" s="7">
        <f t="shared" si="4"/>
        <v>10163</v>
      </c>
      <c r="O20" s="26">
        <f t="shared" si="5"/>
        <v>35846437.586939991</v>
      </c>
    </row>
    <row r="21" spans="1:15" ht="12" customHeight="1" x14ac:dyDescent="0.2">
      <c r="A21" s="6" t="s">
        <v>20</v>
      </c>
      <c r="B21" s="8">
        <f>49+9945+30</f>
        <v>10024</v>
      </c>
      <c r="C21" s="8">
        <f>128.06+18991.72+15.8+74.13</f>
        <v>19209.710000000003</v>
      </c>
      <c r="D21" s="7">
        <f t="shared" si="0"/>
        <v>30554849.467740003</v>
      </c>
      <c r="E21" s="8">
        <v>16</v>
      </c>
      <c r="F21" s="51">
        <v>23.27</v>
      </c>
      <c r="G21" s="7">
        <f t="shared" si="1"/>
        <v>37013.122380000001</v>
      </c>
      <c r="H21" s="8">
        <v>635</v>
      </c>
      <c r="I21" s="51">
        <v>1310.0899999999999</v>
      </c>
      <c r="J21" s="7">
        <f t="shared" si="2"/>
        <v>2083821.2934599996</v>
      </c>
      <c r="K21" s="8">
        <v>1463</v>
      </c>
      <c r="L21" s="51">
        <v>2564.0100000000002</v>
      </c>
      <c r="M21" s="7">
        <f t="shared" si="3"/>
        <v>4078298.9219400003</v>
      </c>
      <c r="N21" s="7">
        <f t="shared" si="4"/>
        <v>12138</v>
      </c>
      <c r="O21" s="26">
        <f t="shared" si="5"/>
        <v>36753982.805520006</v>
      </c>
    </row>
    <row r="22" spans="1:15" ht="22.5" customHeight="1" x14ac:dyDescent="0.2">
      <c r="A22" s="6" t="s">
        <v>21</v>
      </c>
      <c r="B22" s="16">
        <f>24+4681+16</f>
        <v>4721</v>
      </c>
      <c r="C22" s="16">
        <f>39.04+8251.05+12.21+21.12</f>
        <v>8323.42</v>
      </c>
      <c r="D22" s="7">
        <f t="shared" si="0"/>
        <v>13239181.91148</v>
      </c>
      <c r="E22" s="16">
        <v>5</v>
      </c>
      <c r="F22" s="50">
        <v>11.45</v>
      </c>
      <c r="G22" s="7">
        <f t="shared" si="1"/>
        <v>18212.301299999999</v>
      </c>
      <c r="H22" s="16">
        <v>980</v>
      </c>
      <c r="I22" s="50">
        <v>1546.05</v>
      </c>
      <c r="J22" s="7">
        <f t="shared" si="2"/>
        <v>2459137.8536999999</v>
      </c>
      <c r="K22" s="16">
        <v>1100</v>
      </c>
      <c r="L22" s="50">
        <v>1532.16</v>
      </c>
      <c r="M22" s="7">
        <f t="shared" si="3"/>
        <v>2437044.5030400003</v>
      </c>
      <c r="N22" s="7">
        <f t="shared" si="4"/>
        <v>6806</v>
      </c>
      <c r="O22" s="26">
        <f t="shared" si="5"/>
        <v>18153576.56952</v>
      </c>
    </row>
    <row r="23" spans="1:15" ht="12" customHeight="1" x14ac:dyDescent="0.2">
      <c r="A23" s="10" t="s">
        <v>22</v>
      </c>
      <c r="B23" s="8">
        <v>2859</v>
      </c>
      <c r="C23" s="8">
        <f>19.48+4481.31+4.7+38.74</f>
        <v>4544.2299999999996</v>
      </c>
      <c r="D23" s="7">
        <f t="shared" si="0"/>
        <v>7228024.9726199983</v>
      </c>
      <c r="E23" s="8">
        <v>9</v>
      </c>
      <c r="F23" s="51">
        <v>10.32</v>
      </c>
      <c r="G23" s="7">
        <f t="shared" si="1"/>
        <v>16414.930079999998</v>
      </c>
      <c r="H23" s="8">
        <v>794</v>
      </c>
      <c r="I23" s="51">
        <v>905.93</v>
      </c>
      <c r="J23" s="7">
        <f t="shared" si="2"/>
        <v>1440966.8224199999</v>
      </c>
      <c r="K23" s="8">
        <v>1583</v>
      </c>
      <c r="L23" s="51">
        <v>1544.26</v>
      </c>
      <c r="M23" s="7">
        <f t="shared" si="3"/>
        <v>2456290.6904399996</v>
      </c>
      <c r="N23" s="7">
        <f t="shared" si="4"/>
        <v>5245</v>
      </c>
      <c r="O23" s="26">
        <f t="shared" si="5"/>
        <v>11141697.415559998</v>
      </c>
    </row>
    <row r="24" spans="1:15" ht="14.25" customHeight="1" x14ac:dyDescent="0.2">
      <c r="A24" s="10" t="s">
        <v>23</v>
      </c>
      <c r="B24" s="8">
        <f>25+6484+2+24</f>
        <v>6535</v>
      </c>
      <c r="C24" s="8">
        <f>40.29+11317.31+5.99+41.65</f>
        <v>11405.24</v>
      </c>
      <c r="D24" s="7">
        <f t="shared" si="0"/>
        <v>18141106.31256</v>
      </c>
      <c r="E24" s="8">
        <v>16</v>
      </c>
      <c r="F24" s="51">
        <v>17.2</v>
      </c>
      <c r="G24" s="7">
        <f t="shared" si="1"/>
        <v>27358.216799999995</v>
      </c>
      <c r="H24" s="8">
        <v>710</v>
      </c>
      <c r="I24" s="51">
        <v>853.18</v>
      </c>
      <c r="J24" s="7">
        <f t="shared" si="2"/>
        <v>1357062.9889199999</v>
      </c>
      <c r="K24" s="8">
        <v>1516</v>
      </c>
      <c r="L24" s="51">
        <v>1388.95</v>
      </c>
      <c r="M24" s="7">
        <f t="shared" si="3"/>
        <v>2209255.5363000003</v>
      </c>
      <c r="N24" s="7">
        <f t="shared" si="4"/>
        <v>8777</v>
      </c>
      <c r="O24" s="26">
        <f t="shared" si="5"/>
        <v>21734783.054579999</v>
      </c>
    </row>
    <row r="25" spans="1:15" ht="45" customHeight="1" x14ac:dyDescent="0.2">
      <c r="A25" s="10" t="s">
        <v>24</v>
      </c>
      <c r="B25" s="16">
        <f>57+234+1</f>
        <v>292</v>
      </c>
      <c r="C25" s="16">
        <f>27.63+178.56+0.69</f>
        <v>206.88</v>
      </c>
      <c r="D25" s="7">
        <f t="shared" si="0"/>
        <v>329062.08671999996</v>
      </c>
      <c r="E25" s="16">
        <v>5</v>
      </c>
      <c r="F25" s="50">
        <v>2.5</v>
      </c>
      <c r="G25" s="7">
        <f t="shared" si="1"/>
        <v>3976.4849999999997</v>
      </c>
      <c r="H25" s="16">
        <v>30140</v>
      </c>
      <c r="I25" s="50">
        <v>15921</v>
      </c>
      <c r="J25" s="7">
        <f t="shared" si="2"/>
        <v>25323847.073999997</v>
      </c>
      <c r="K25" s="16">
        <v>479</v>
      </c>
      <c r="L25" s="50">
        <v>235.87</v>
      </c>
      <c r="M25" s="7">
        <f t="shared" si="3"/>
        <v>375173.40678000002</v>
      </c>
      <c r="N25" s="7">
        <f t="shared" si="4"/>
        <v>30916</v>
      </c>
      <c r="O25" s="26">
        <f t="shared" si="5"/>
        <v>26032059.052499998</v>
      </c>
    </row>
    <row r="26" spans="1:15" ht="12" customHeight="1" x14ac:dyDescent="0.2">
      <c r="A26" s="10" t="s">
        <v>25</v>
      </c>
      <c r="B26" s="8">
        <v>261</v>
      </c>
      <c r="C26" s="8">
        <f>12.37+758.7+5.86+9.68</f>
        <v>786.61</v>
      </c>
      <c r="D26" s="7">
        <f t="shared" si="0"/>
        <v>1251177.14634</v>
      </c>
      <c r="E26" s="8">
        <v>48</v>
      </c>
      <c r="F26" s="51">
        <v>122.27</v>
      </c>
      <c r="G26" s="7">
        <f t="shared" si="1"/>
        <v>194481.92838</v>
      </c>
      <c r="H26" s="8">
        <v>93</v>
      </c>
      <c r="I26" s="51">
        <v>183.28</v>
      </c>
      <c r="J26" s="7">
        <f t="shared" si="2"/>
        <v>291524.06832000002</v>
      </c>
      <c r="K26" s="8">
        <v>79</v>
      </c>
      <c r="L26" s="51">
        <v>173.42</v>
      </c>
      <c r="M26" s="7">
        <f t="shared" si="3"/>
        <v>275840.81147999997</v>
      </c>
      <c r="N26" s="7">
        <f t="shared" si="4"/>
        <v>481</v>
      </c>
      <c r="O26" s="26">
        <f t="shared" si="5"/>
        <v>2013023.9545199999</v>
      </c>
    </row>
    <row r="27" spans="1:15" ht="12" customHeight="1" thickBot="1" x14ac:dyDescent="0.25">
      <c r="A27" s="11" t="s">
        <v>26</v>
      </c>
      <c r="B27" s="12">
        <v>41</v>
      </c>
      <c r="C27" s="12">
        <v>30.11</v>
      </c>
      <c r="D27" s="7">
        <f t="shared" si="0"/>
        <v>47892.785340000002</v>
      </c>
      <c r="E27" s="12">
        <v>0</v>
      </c>
      <c r="F27" s="52">
        <v>0</v>
      </c>
      <c r="G27" s="7">
        <f t="shared" si="1"/>
        <v>0</v>
      </c>
      <c r="H27" s="12">
        <v>167</v>
      </c>
      <c r="I27" s="52">
        <v>60.3</v>
      </c>
      <c r="J27" s="7">
        <f t="shared" si="2"/>
        <v>95912.81819999998</v>
      </c>
      <c r="K27" s="12">
        <v>135</v>
      </c>
      <c r="L27" s="52">
        <v>55.22</v>
      </c>
      <c r="M27" s="7">
        <f t="shared" si="3"/>
        <v>87832.600679999989</v>
      </c>
      <c r="N27" s="33">
        <f t="shared" si="4"/>
        <v>343</v>
      </c>
      <c r="O27" s="47">
        <f t="shared" si="5"/>
        <v>231638.20421999996</v>
      </c>
    </row>
    <row r="28" spans="1:15" ht="12" customHeight="1" thickBot="1" x14ac:dyDescent="0.25">
      <c r="A28" s="14" t="s">
        <v>27</v>
      </c>
      <c r="B28" s="25">
        <f>SUM(B6:B27)</f>
        <v>219708</v>
      </c>
      <c r="C28" s="46">
        <f>SUM(C6:C27)</f>
        <v>464834.81999999995</v>
      </c>
      <c r="D28" s="48">
        <f>C28*8886*0.179</f>
        <v>739363475.68307984</v>
      </c>
      <c r="E28" s="25">
        <f t="shared" ref="E28:L28" si="6">SUM(E6:E27)</f>
        <v>1897</v>
      </c>
      <c r="F28" s="46">
        <f t="shared" si="6"/>
        <v>2925.07</v>
      </c>
      <c r="G28" s="25">
        <f t="shared" si="6"/>
        <v>4652598.79158</v>
      </c>
      <c r="H28" s="25">
        <f t="shared" si="6"/>
        <v>67786</v>
      </c>
      <c r="I28" s="46">
        <f t="shared" si="6"/>
        <v>66613.600000000006</v>
      </c>
      <c r="J28" s="25">
        <f t="shared" si="6"/>
        <v>105955192.47840001</v>
      </c>
      <c r="K28" s="25">
        <f t="shared" si="6"/>
        <v>80081</v>
      </c>
      <c r="L28" s="46">
        <f t="shared" si="6"/>
        <v>82778.27999999997</v>
      </c>
      <c r="M28" s="48">
        <f>L28*8886*0.179</f>
        <v>131666635.49831994</v>
      </c>
      <c r="N28" s="25">
        <f>SUM(N6:N27)</f>
        <v>369472</v>
      </c>
      <c r="O28" s="27">
        <f>SUM(O6:O27)</f>
        <v>981637902.45138001</v>
      </c>
    </row>
    <row r="29" spans="1:15" x14ac:dyDescent="0.2">
      <c r="A29" s="91" t="s">
        <v>30</v>
      </c>
      <c r="B29" s="91"/>
      <c r="C29" s="91"/>
      <c r="D29" s="91"/>
      <c r="E29" s="91"/>
      <c r="F29" s="91"/>
      <c r="G29" s="91"/>
      <c r="H29" s="91"/>
      <c r="I29" s="91"/>
      <c r="J29" s="91"/>
      <c r="K29" s="91"/>
      <c r="L29" s="91"/>
      <c r="M29" s="91"/>
      <c r="N29" s="91"/>
      <c r="O29" s="91"/>
    </row>
    <row r="30" spans="1:15" x14ac:dyDescent="0.2">
      <c r="A30" s="92" t="s">
        <v>31</v>
      </c>
      <c r="B30" s="92"/>
      <c r="C30" s="92"/>
      <c r="D30" s="92"/>
      <c r="E30" s="92"/>
      <c r="F30" s="92"/>
      <c r="G30" s="92"/>
      <c r="H30" s="92"/>
      <c r="I30" s="92"/>
      <c r="J30" s="92"/>
      <c r="K30" s="92"/>
      <c r="L30" s="92"/>
      <c r="M30" s="92"/>
      <c r="N30" s="92"/>
      <c r="O30" s="92"/>
    </row>
    <row r="31" spans="1:15" ht="13.5" x14ac:dyDescent="0.2">
      <c r="A31" s="23" t="s">
        <v>36</v>
      </c>
    </row>
    <row r="32" spans="1:15" ht="13.5" x14ac:dyDescent="0.2">
      <c r="A32" s="23" t="s">
        <v>38</v>
      </c>
    </row>
    <row r="33" spans="1:15" x14ac:dyDescent="0.2">
      <c r="A33" s="15" t="s">
        <v>50</v>
      </c>
      <c r="K33" s="1"/>
      <c r="L33" s="1"/>
      <c r="M33" s="24" t="s">
        <v>33</v>
      </c>
      <c r="N33" s="1"/>
      <c r="O33" s="1"/>
    </row>
    <row r="34" spans="1:15" x14ac:dyDescent="0.2">
      <c r="A34" s="22">
        <v>41155</v>
      </c>
      <c r="K34" s="1"/>
      <c r="L34" s="1"/>
      <c r="M34" s="24" t="s">
        <v>34</v>
      </c>
      <c r="N34" s="1"/>
      <c r="O34" s="1"/>
    </row>
  </sheetData>
  <mergeCells count="11">
    <mergeCell ref="A29:O29"/>
    <mergeCell ref="A30:O30"/>
    <mergeCell ref="A1:O1"/>
    <mergeCell ref="B2:O2"/>
    <mergeCell ref="A3:A5"/>
    <mergeCell ref="B3:O3"/>
    <mergeCell ref="B4:D4"/>
    <mergeCell ref="E4:G4"/>
    <mergeCell ref="H4:J4"/>
    <mergeCell ref="K4:M4"/>
    <mergeCell ref="N4:O4"/>
  </mergeCells>
  <pageMargins left="0" right="0" top="0.15748031496062992" bottom="0"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opLeftCell="A21" workbookViewId="0">
      <selection activeCell="Q1" sqref="Q1:Q65536"/>
    </sheetView>
  </sheetViews>
  <sheetFormatPr defaultRowHeight="12.75" x14ac:dyDescent="0.2"/>
  <cols>
    <col min="1" max="1" width="41.7109375" customWidth="1"/>
    <col min="3" max="3" width="14.42578125" customWidth="1"/>
    <col min="4" max="4" width="12" customWidth="1"/>
    <col min="6" max="6" width="10" customWidth="1"/>
    <col min="7" max="7" width="11.140625" customWidth="1"/>
    <col min="9" max="9" width="10.7109375" customWidth="1"/>
    <col min="10" max="10" width="10" customWidth="1"/>
    <col min="12" max="12" width="10.140625" customWidth="1"/>
    <col min="13" max="13" width="11.7109375" customWidth="1"/>
    <col min="15" max="15" width="9.5703125" bestFit="1" customWidth="1"/>
  </cols>
  <sheetData>
    <row r="1" spans="1:15" ht="29.25" customHeight="1" thickBot="1" x14ac:dyDescent="0.25">
      <c r="A1" s="111" t="s">
        <v>51</v>
      </c>
      <c r="B1" s="111"/>
      <c r="C1" s="111"/>
      <c r="D1" s="111"/>
      <c r="E1" s="111"/>
      <c r="F1" s="111"/>
      <c r="G1" s="111"/>
      <c r="H1" s="111"/>
      <c r="I1" s="111"/>
      <c r="J1" s="111"/>
      <c r="K1" s="111"/>
      <c r="L1" s="111"/>
      <c r="M1" s="111"/>
      <c r="N1" s="111"/>
      <c r="O1" s="111"/>
    </row>
    <row r="2" spans="1:15" x14ac:dyDescent="0.2">
      <c r="A2" s="2" t="s">
        <v>4</v>
      </c>
      <c r="B2" s="120">
        <v>2012</v>
      </c>
      <c r="C2" s="121"/>
      <c r="D2" s="121"/>
      <c r="E2" s="121"/>
      <c r="F2" s="121"/>
      <c r="G2" s="121"/>
      <c r="H2" s="121"/>
      <c r="I2" s="121"/>
      <c r="J2" s="121"/>
      <c r="K2" s="121"/>
      <c r="L2" s="121"/>
      <c r="M2" s="121"/>
      <c r="N2" s="121"/>
      <c r="O2" s="122"/>
    </row>
    <row r="3" spans="1:15" ht="12" customHeight="1" x14ac:dyDescent="0.2">
      <c r="A3" s="123" t="s">
        <v>40</v>
      </c>
      <c r="B3" s="100" t="s">
        <v>1</v>
      </c>
      <c r="C3" s="101"/>
      <c r="D3" s="101"/>
      <c r="E3" s="101"/>
      <c r="F3" s="101"/>
      <c r="G3" s="101"/>
      <c r="H3" s="101"/>
      <c r="I3" s="101"/>
      <c r="J3" s="101"/>
      <c r="K3" s="101"/>
      <c r="L3" s="101"/>
      <c r="M3" s="101"/>
      <c r="N3" s="101"/>
      <c r="O3" s="102"/>
    </row>
    <row r="4" spans="1:15" ht="12" customHeight="1" x14ac:dyDescent="0.2">
      <c r="A4" s="124"/>
      <c r="B4" s="125" t="s">
        <v>0</v>
      </c>
      <c r="C4" s="125"/>
      <c r="D4" s="126"/>
      <c r="E4" s="126" t="s">
        <v>3</v>
      </c>
      <c r="F4" s="126"/>
      <c r="G4" s="126"/>
      <c r="H4" s="126" t="s">
        <v>28</v>
      </c>
      <c r="I4" s="126"/>
      <c r="J4" s="126"/>
      <c r="K4" s="126" t="s">
        <v>29</v>
      </c>
      <c r="L4" s="126"/>
      <c r="M4" s="126"/>
      <c r="N4" s="126" t="s">
        <v>39</v>
      </c>
      <c r="O4" s="127"/>
    </row>
    <row r="5" spans="1:15" ht="34.5" customHeight="1" x14ac:dyDescent="0.2">
      <c r="A5" s="124"/>
      <c r="B5" s="3" t="s">
        <v>2</v>
      </c>
      <c r="C5" s="3" t="s">
        <v>44</v>
      </c>
      <c r="D5" s="4" t="s">
        <v>32</v>
      </c>
      <c r="E5" s="4" t="s">
        <v>2</v>
      </c>
      <c r="F5" s="3" t="s">
        <v>44</v>
      </c>
      <c r="G5" s="4" t="s">
        <v>32</v>
      </c>
      <c r="H5" s="4" t="s">
        <v>2</v>
      </c>
      <c r="I5" s="3" t="s">
        <v>44</v>
      </c>
      <c r="J5" s="4" t="s">
        <v>32</v>
      </c>
      <c r="K5" s="4" t="s">
        <v>2</v>
      </c>
      <c r="L5" s="3" t="s">
        <v>44</v>
      </c>
      <c r="M5" s="4" t="s">
        <v>32</v>
      </c>
      <c r="N5" s="4" t="s">
        <v>2</v>
      </c>
      <c r="O5" s="5" t="s">
        <v>32</v>
      </c>
    </row>
    <row r="6" spans="1:15" ht="12" customHeight="1" x14ac:dyDescent="0.2">
      <c r="A6" s="6" t="s">
        <v>5</v>
      </c>
      <c r="B6" s="7">
        <f>25+2013+4</f>
        <v>2042</v>
      </c>
      <c r="C6" s="7">
        <f>15.9+3291.74+6.91</f>
        <v>3314.5499999999997</v>
      </c>
      <c r="D6" s="7">
        <f>C6*9068*0.179</f>
        <v>5380084.7525999993</v>
      </c>
      <c r="E6" s="7">
        <v>9</v>
      </c>
      <c r="F6" s="50">
        <v>8.19</v>
      </c>
      <c r="G6" s="7">
        <f>F6*9068*0.179</f>
        <v>13293.778679999999</v>
      </c>
      <c r="H6" s="7">
        <v>5173</v>
      </c>
      <c r="I6" s="50">
        <v>2190.3000000000002</v>
      </c>
      <c r="J6" s="7">
        <f>I6*9068*0.179</f>
        <v>3555233.6316000004</v>
      </c>
      <c r="K6" s="7">
        <v>1505</v>
      </c>
      <c r="L6" s="50">
        <v>1011.07</v>
      </c>
      <c r="M6" s="7">
        <f>L6*9068*0.179</f>
        <v>1641140.5140399998</v>
      </c>
      <c r="N6" s="7">
        <f>B6+E6+H6+K6</f>
        <v>8729</v>
      </c>
      <c r="O6" s="26">
        <f>D6+G6+J6+M6</f>
        <v>10589752.67692</v>
      </c>
    </row>
    <row r="7" spans="1:15" ht="12" customHeight="1" x14ac:dyDescent="0.2">
      <c r="A7" s="6" t="s">
        <v>6</v>
      </c>
      <c r="B7" s="7">
        <f>1+670+2</f>
        <v>673</v>
      </c>
      <c r="C7" s="7">
        <f>1.19+1684.71+7.67</f>
        <v>1693.5700000000002</v>
      </c>
      <c r="D7" s="7">
        <f t="shared" ref="D7:D27" si="0">C7*9068*0.179</f>
        <v>2748955.4040400004</v>
      </c>
      <c r="E7" s="7">
        <v>8</v>
      </c>
      <c r="F7" s="50">
        <v>11.82</v>
      </c>
      <c r="G7" s="7">
        <f t="shared" ref="G7:G27" si="1">F7*9068*0.179</f>
        <v>19185.893040000003</v>
      </c>
      <c r="H7" s="7">
        <v>26</v>
      </c>
      <c r="I7" s="50">
        <v>41.93</v>
      </c>
      <c r="J7" s="7">
        <f t="shared" ref="J7:J27" si="2">I7*9068*0.179</f>
        <v>68059.60196</v>
      </c>
      <c r="K7" s="7">
        <v>138</v>
      </c>
      <c r="L7" s="50">
        <v>241.83</v>
      </c>
      <c r="M7" s="7">
        <f>L7*9068*0.179</f>
        <v>392531.68475999997</v>
      </c>
      <c r="N7" s="7">
        <f>B7+E7+H7+K7</f>
        <v>845</v>
      </c>
      <c r="O7" s="26">
        <f>D7+G7+J7+M7</f>
        <v>3228732.5838000006</v>
      </c>
    </row>
    <row r="8" spans="1:15" ht="12" customHeight="1" x14ac:dyDescent="0.2">
      <c r="A8" s="6" t="s">
        <v>7</v>
      </c>
      <c r="B8" s="7">
        <f>117+22734+10+57</f>
        <v>22918</v>
      </c>
      <c r="C8" s="7">
        <f>195.89+42981.45+17.69+141.19</f>
        <v>43336.22</v>
      </c>
      <c r="D8" s="7">
        <f t="shared" si="0"/>
        <v>70342138.889840007</v>
      </c>
      <c r="E8" s="7">
        <v>188</v>
      </c>
      <c r="F8" s="50">
        <v>202.96</v>
      </c>
      <c r="G8" s="7">
        <f t="shared" si="1"/>
        <v>329438.98911999998</v>
      </c>
      <c r="H8" s="7">
        <v>1770</v>
      </c>
      <c r="I8" s="50">
        <v>1983.42</v>
      </c>
      <c r="J8" s="7">
        <f t="shared" si="2"/>
        <v>3219431.8082400002</v>
      </c>
      <c r="K8" s="7">
        <v>9194</v>
      </c>
      <c r="L8" s="50">
        <v>10080.44</v>
      </c>
      <c r="M8" s="7">
        <f t="shared" ref="M8:M27" si="3">L8*9068*0.179</f>
        <v>16362287.95568</v>
      </c>
      <c r="N8" s="7">
        <f t="shared" ref="N8:N27" si="4">B8+E8+H8+K8</f>
        <v>34070</v>
      </c>
      <c r="O8" s="26">
        <f t="shared" ref="O8:O27" si="5">D8+G8+J8+M8</f>
        <v>90253297.642880008</v>
      </c>
    </row>
    <row r="9" spans="1:15" ht="21.75" customHeight="1" x14ac:dyDescent="0.2">
      <c r="A9" s="6" t="s">
        <v>8</v>
      </c>
      <c r="B9" s="7">
        <f>5+2460+7</f>
        <v>2472</v>
      </c>
      <c r="C9" s="7">
        <f>14.69+8611.92+32.37</f>
        <v>8658.9800000000014</v>
      </c>
      <c r="D9" s="7">
        <f t="shared" si="0"/>
        <v>14055013.884560002</v>
      </c>
      <c r="E9" s="7">
        <v>0</v>
      </c>
      <c r="F9" s="50">
        <v>0</v>
      </c>
      <c r="G9" s="7">
        <f t="shared" si="1"/>
        <v>0</v>
      </c>
      <c r="H9" s="7">
        <v>31</v>
      </c>
      <c r="I9" s="50">
        <v>25.35</v>
      </c>
      <c r="J9" s="7">
        <f t="shared" si="2"/>
        <v>41147.410199999998</v>
      </c>
      <c r="K9" s="7">
        <v>32</v>
      </c>
      <c r="L9" s="50">
        <v>65.92</v>
      </c>
      <c r="M9" s="7">
        <f t="shared" si="3"/>
        <v>106999.49824</v>
      </c>
      <c r="N9" s="7">
        <f t="shared" si="4"/>
        <v>2535</v>
      </c>
      <c r="O9" s="26">
        <f t="shared" si="5"/>
        <v>14203160.793000001</v>
      </c>
    </row>
    <row r="10" spans="1:15" ht="22.5" customHeight="1" x14ac:dyDescent="0.2">
      <c r="A10" s="6" t="s">
        <v>9</v>
      </c>
      <c r="B10" s="7">
        <f>2+1075+1+3</f>
        <v>1081</v>
      </c>
      <c r="C10" s="7">
        <f>3.59+2605.98+0.88+3.09</f>
        <v>2613.5400000000004</v>
      </c>
      <c r="D10" s="7">
        <f t="shared" si="0"/>
        <v>4242224.94888</v>
      </c>
      <c r="E10" s="7">
        <v>1</v>
      </c>
      <c r="F10" s="50">
        <v>0.54</v>
      </c>
      <c r="G10" s="7">
        <f t="shared" si="1"/>
        <v>876.51288</v>
      </c>
      <c r="H10" s="7">
        <v>85</v>
      </c>
      <c r="I10" s="50">
        <v>83.31</v>
      </c>
      <c r="J10" s="7">
        <f t="shared" si="2"/>
        <v>135226.45931999999</v>
      </c>
      <c r="K10" s="7">
        <v>413</v>
      </c>
      <c r="L10" s="50">
        <v>504.19</v>
      </c>
      <c r="M10" s="7">
        <f t="shared" si="3"/>
        <v>818387.09067999991</v>
      </c>
      <c r="N10" s="7">
        <f t="shared" si="4"/>
        <v>1580</v>
      </c>
      <c r="O10" s="26">
        <f t="shared" si="5"/>
        <v>5196715.0117600001</v>
      </c>
    </row>
    <row r="11" spans="1:15" ht="12" customHeight="1" x14ac:dyDescent="0.2">
      <c r="A11" s="6" t="s">
        <v>10</v>
      </c>
      <c r="B11" s="7">
        <f>78+20329+5+82</f>
        <v>20494</v>
      </c>
      <c r="C11" s="7">
        <f>123.68+37256.32+12.36+185.39</f>
        <v>37577.75</v>
      </c>
      <c r="D11" s="7">
        <f t="shared" si="0"/>
        <v>60995151.622999996</v>
      </c>
      <c r="E11" s="7">
        <v>682</v>
      </c>
      <c r="F11" s="50">
        <v>950.73</v>
      </c>
      <c r="G11" s="7">
        <f t="shared" si="1"/>
        <v>1543198.31556</v>
      </c>
      <c r="H11" s="7">
        <v>1938</v>
      </c>
      <c r="I11" s="50">
        <v>1766.75</v>
      </c>
      <c r="J11" s="7">
        <f t="shared" si="2"/>
        <v>2867739.1310000001</v>
      </c>
      <c r="K11" s="7">
        <v>10957</v>
      </c>
      <c r="L11" s="50">
        <v>10797.24</v>
      </c>
      <c r="M11" s="7">
        <f t="shared" si="3"/>
        <v>17525777.64528</v>
      </c>
      <c r="N11" s="7">
        <f t="shared" si="4"/>
        <v>34071</v>
      </c>
      <c r="O11" s="26">
        <f t="shared" si="5"/>
        <v>82931866.714839995</v>
      </c>
    </row>
    <row r="12" spans="1:15" ht="21" customHeight="1" x14ac:dyDescent="0.2">
      <c r="A12" s="6" t="s">
        <v>11</v>
      </c>
      <c r="B12" s="7">
        <f>277+50532+16+154</f>
        <v>50979</v>
      </c>
      <c r="C12" s="7">
        <f>429.76+84235.94+37.37+340.9</f>
        <v>85043.969999999987</v>
      </c>
      <c r="D12" s="7">
        <f t="shared" si="0"/>
        <v>138040990.87283999</v>
      </c>
      <c r="E12" s="7">
        <v>170</v>
      </c>
      <c r="F12" s="50">
        <v>224.45</v>
      </c>
      <c r="G12" s="7">
        <f t="shared" si="1"/>
        <v>364320.95539999998</v>
      </c>
      <c r="H12" s="7">
        <v>3877</v>
      </c>
      <c r="I12" s="50">
        <v>5029.5600000000004</v>
      </c>
      <c r="J12" s="7">
        <f t="shared" si="2"/>
        <v>8163840.9643200003</v>
      </c>
      <c r="K12" s="7">
        <v>14024</v>
      </c>
      <c r="L12" s="50">
        <v>15810</v>
      </c>
      <c r="M12" s="7">
        <f t="shared" si="3"/>
        <v>25662349.32</v>
      </c>
      <c r="N12" s="7">
        <f t="shared" si="4"/>
        <v>69050</v>
      </c>
      <c r="O12" s="26">
        <f t="shared" si="5"/>
        <v>172231502.11255997</v>
      </c>
    </row>
    <row r="13" spans="1:15" ht="12" customHeight="1" x14ac:dyDescent="0.2">
      <c r="A13" s="6" t="s">
        <v>12</v>
      </c>
      <c r="B13" s="7">
        <f>45+10573+4+39</f>
        <v>10661</v>
      </c>
      <c r="C13" s="7">
        <f>109.62+25232.26+7.35+135.81</f>
        <v>25485.039999999997</v>
      </c>
      <c r="D13" s="7">
        <f t="shared" si="0"/>
        <v>41366603.346879996</v>
      </c>
      <c r="E13" s="7">
        <v>31</v>
      </c>
      <c r="F13" s="50">
        <v>53.3</v>
      </c>
      <c r="G13" s="7">
        <f t="shared" si="1"/>
        <v>86515.067599999995</v>
      </c>
      <c r="H13" s="7">
        <v>644</v>
      </c>
      <c r="I13" s="50">
        <v>2079.9299999999998</v>
      </c>
      <c r="J13" s="7">
        <f t="shared" si="2"/>
        <v>3376084.1379599995</v>
      </c>
      <c r="K13" s="7">
        <v>4956</v>
      </c>
      <c r="L13" s="50">
        <v>6124.17</v>
      </c>
      <c r="M13" s="7">
        <f t="shared" si="3"/>
        <v>9940581.2672400009</v>
      </c>
      <c r="N13" s="7">
        <f t="shared" si="4"/>
        <v>16292</v>
      </c>
      <c r="O13" s="26">
        <f t="shared" si="5"/>
        <v>54769783.819679998</v>
      </c>
    </row>
    <row r="14" spans="1:15" ht="20.25" customHeight="1" x14ac:dyDescent="0.2">
      <c r="A14" s="6" t="s">
        <v>13</v>
      </c>
      <c r="B14" s="7">
        <f>112+21910+2+35</f>
        <v>22059</v>
      </c>
      <c r="C14" s="7">
        <f>108.05+30386.83+0.5+64.95</f>
        <v>30560.33</v>
      </c>
      <c r="D14" s="7">
        <f t="shared" si="0"/>
        <v>49604671.966759995</v>
      </c>
      <c r="E14" s="7">
        <v>145</v>
      </c>
      <c r="F14" s="50">
        <v>261.05</v>
      </c>
      <c r="G14" s="7">
        <f t="shared" si="1"/>
        <v>423729.05059999996</v>
      </c>
      <c r="H14" s="7">
        <v>3880</v>
      </c>
      <c r="I14" s="50">
        <v>3315.37</v>
      </c>
      <c r="J14" s="7">
        <f t="shared" si="2"/>
        <v>5381415.7536399998</v>
      </c>
      <c r="K14" s="7">
        <v>24053</v>
      </c>
      <c r="L14" s="50">
        <v>17649.939999999999</v>
      </c>
      <c r="M14" s="7">
        <f t="shared" si="3"/>
        <v>28648888.409679998</v>
      </c>
      <c r="N14" s="7">
        <f t="shared" si="4"/>
        <v>50137</v>
      </c>
      <c r="O14" s="26">
        <f t="shared" si="5"/>
        <v>84058705.180679992</v>
      </c>
    </row>
    <row r="15" spans="1:15" ht="12" customHeight="1" x14ac:dyDescent="0.2">
      <c r="A15" s="6" t="s">
        <v>14</v>
      </c>
      <c r="B15" s="7">
        <f>42+8566+5+46</f>
        <v>8659</v>
      </c>
      <c r="C15" s="7">
        <f>120.35+24574.88+10.17+160.48</f>
        <v>24865.879999999997</v>
      </c>
      <c r="D15" s="7">
        <f t="shared" si="0"/>
        <v>40361600.171359994</v>
      </c>
      <c r="E15" s="7">
        <v>35</v>
      </c>
      <c r="F15" s="50">
        <v>98.9</v>
      </c>
      <c r="G15" s="7">
        <f t="shared" si="1"/>
        <v>160531.7108</v>
      </c>
      <c r="H15" s="7">
        <v>668</v>
      </c>
      <c r="I15" s="50">
        <v>1731.01</v>
      </c>
      <c r="J15" s="7">
        <f t="shared" si="2"/>
        <v>2809726.9637199999</v>
      </c>
      <c r="K15" s="7">
        <v>1160</v>
      </c>
      <c r="L15" s="50">
        <v>2524.5</v>
      </c>
      <c r="M15" s="7">
        <f t="shared" si="3"/>
        <v>4097697.7139999997</v>
      </c>
      <c r="N15" s="7">
        <f t="shared" si="4"/>
        <v>10522</v>
      </c>
      <c r="O15" s="26">
        <f t="shared" si="5"/>
        <v>47429556.559879996</v>
      </c>
    </row>
    <row r="16" spans="1:15" ht="12" customHeight="1" x14ac:dyDescent="0.2">
      <c r="A16" s="6" t="s">
        <v>15</v>
      </c>
      <c r="B16" s="7">
        <f>62+17978+8+84</f>
        <v>18132</v>
      </c>
      <c r="C16" s="7">
        <f>226.1+67840.89+32.87+353.69</f>
        <v>68453.55</v>
      </c>
      <c r="D16" s="7">
        <f t="shared" si="0"/>
        <v>111111885.66059999</v>
      </c>
      <c r="E16" s="7">
        <v>16</v>
      </c>
      <c r="F16" s="50">
        <v>30.43</v>
      </c>
      <c r="G16" s="7">
        <f t="shared" si="1"/>
        <v>49393.123959999997</v>
      </c>
      <c r="H16" s="7">
        <v>972</v>
      </c>
      <c r="I16" s="50">
        <v>3044.39</v>
      </c>
      <c r="J16" s="7">
        <f t="shared" si="2"/>
        <v>4941568.6050800001</v>
      </c>
      <c r="K16" s="7">
        <v>1146</v>
      </c>
      <c r="L16" s="50">
        <v>2820.81</v>
      </c>
      <c r="M16" s="7">
        <f t="shared" si="3"/>
        <v>4578659.8093199991</v>
      </c>
      <c r="N16" s="7">
        <f t="shared" si="4"/>
        <v>20266</v>
      </c>
      <c r="O16" s="26">
        <f t="shared" si="5"/>
        <v>120681507.19895999</v>
      </c>
    </row>
    <row r="17" spans="1:15" ht="12" customHeight="1" x14ac:dyDescent="0.2">
      <c r="A17" s="6" t="s">
        <v>16</v>
      </c>
      <c r="B17" s="7">
        <f>7+1816+1+9</f>
        <v>1833</v>
      </c>
      <c r="C17" s="7">
        <f>11.43+2827.09+2.39+13.68</f>
        <v>2854.5899999999997</v>
      </c>
      <c r="D17" s="7">
        <f t="shared" si="0"/>
        <v>4633490.5594799994</v>
      </c>
      <c r="E17" s="7">
        <v>6</v>
      </c>
      <c r="F17" s="50">
        <v>4.0199999999999996</v>
      </c>
      <c r="G17" s="7">
        <f t="shared" si="1"/>
        <v>6525.1514399999987</v>
      </c>
      <c r="H17" s="7">
        <v>129</v>
      </c>
      <c r="I17" s="50">
        <v>158.75</v>
      </c>
      <c r="J17" s="7">
        <f t="shared" si="2"/>
        <v>257678.55499999999</v>
      </c>
      <c r="K17" s="7">
        <v>639</v>
      </c>
      <c r="L17" s="50">
        <v>737.03</v>
      </c>
      <c r="M17" s="7">
        <f t="shared" si="3"/>
        <v>1196326.4591599999</v>
      </c>
      <c r="N17" s="7">
        <f t="shared" si="4"/>
        <v>2607</v>
      </c>
      <c r="O17" s="26">
        <f t="shared" si="5"/>
        <v>6094020.7250799993</v>
      </c>
    </row>
    <row r="18" spans="1:15" ht="12" customHeight="1" x14ac:dyDescent="0.2">
      <c r="A18" s="6" t="s">
        <v>17</v>
      </c>
      <c r="B18" s="7">
        <f>102+17579+12+80</f>
        <v>17773</v>
      </c>
      <c r="C18" s="7">
        <f>261.11+40760.89+30.12+251.94</f>
        <v>41304.060000000005</v>
      </c>
      <c r="D18" s="7">
        <f t="shared" si="0"/>
        <v>67043593.678320006</v>
      </c>
      <c r="E18" s="7">
        <v>33</v>
      </c>
      <c r="F18" s="50">
        <v>58.08</v>
      </c>
      <c r="G18" s="7">
        <f t="shared" si="1"/>
        <v>94273.829759999993</v>
      </c>
      <c r="H18" s="7">
        <v>1374</v>
      </c>
      <c r="I18" s="50">
        <v>3619.02</v>
      </c>
      <c r="J18" s="7">
        <f t="shared" si="2"/>
        <v>5874291.9314399995</v>
      </c>
      <c r="K18" s="7">
        <v>2901</v>
      </c>
      <c r="L18" s="50">
        <v>5143.83</v>
      </c>
      <c r="M18" s="7">
        <f t="shared" si="3"/>
        <v>8349320.828759999</v>
      </c>
      <c r="N18" s="7">
        <f t="shared" si="4"/>
        <v>22081</v>
      </c>
      <c r="O18" s="26">
        <f t="shared" si="5"/>
        <v>81361480.268279999</v>
      </c>
    </row>
    <row r="19" spans="1:15" ht="12" customHeight="1" x14ac:dyDescent="0.2">
      <c r="A19" s="6" t="s">
        <v>18</v>
      </c>
      <c r="B19" s="7">
        <f>35+4808+8+19</f>
        <v>4870</v>
      </c>
      <c r="C19" s="7">
        <f>62+8056.54+19.7+30.28</f>
        <v>8168.5199999999995</v>
      </c>
      <c r="D19" s="7">
        <f t="shared" si="0"/>
        <v>13258912.94544</v>
      </c>
      <c r="E19" s="7">
        <v>15</v>
      </c>
      <c r="F19" s="50">
        <v>33.299999999999997</v>
      </c>
      <c r="G19" s="7">
        <f t="shared" si="1"/>
        <v>54051.627599999993</v>
      </c>
      <c r="H19" s="7">
        <v>578</v>
      </c>
      <c r="I19" s="50">
        <v>713.84</v>
      </c>
      <c r="J19" s="7">
        <f t="shared" si="2"/>
        <v>1158685.10048</v>
      </c>
      <c r="K19" s="7">
        <v>3447</v>
      </c>
      <c r="L19" s="50">
        <v>3603.46</v>
      </c>
      <c r="M19" s="7">
        <f t="shared" si="3"/>
        <v>5849035.37512</v>
      </c>
      <c r="N19" s="7">
        <f t="shared" si="4"/>
        <v>8910</v>
      </c>
      <c r="O19" s="26">
        <f t="shared" si="5"/>
        <v>20320685.048639998</v>
      </c>
    </row>
    <row r="20" spans="1:15" ht="21.75" customHeight="1" x14ac:dyDescent="0.2">
      <c r="A20" s="6" t="s">
        <v>19</v>
      </c>
      <c r="B20" s="7">
        <f>9+9309+2+25</f>
        <v>9345</v>
      </c>
      <c r="C20" s="7">
        <f>19.72+19881.79+5.26+69.68</f>
        <v>19976.45</v>
      </c>
      <c r="D20" s="7">
        <f t="shared" si="0"/>
        <v>32425214.299399998</v>
      </c>
      <c r="E20" s="7">
        <v>55</v>
      </c>
      <c r="F20" s="50">
        <v>181.66</v>
      </c>
      <c r="G20" s="7">
        <f t="shared" si="1"/>
        <v>294865.42551999999</v>
      </c>
      <c r="H20" s="7">
        <v>49</v>
      </c>
      <c r="I20" s="50">
        <v>79.83</v>
      </c>
      <c r="J20" s="7">
        <f t="shared" si="2"/>
        <v>129577.82075999999</v>
      </c>
      <c r="K20" s="7">
        <v>184</v>
      </c>
      <c r="L20" s="50">
        <v>286.99</v>
      </c>
      <c r="M20" s="7">
        <f t="shared" si="3"/>
        <v>465834.13228000002</v>
      </c>
      <c r="N20" s="7">
        <f t="shared" si="4"/>
        <v>9633</v>
      </c>
      <c r="O20" s="26">
        <f t="shared" si="5"/>
        <v>33315491.677959997</v>
      </c>
    </row>
    <row r="21" spans="1:15" ht="12" customHeight="1" x14ac:dyDescent="0.2">
      <c r="A21" s="6" t="s">
        <v>20</v>
      </c>
      <c r="B21" s="8">
        <f>55+11653+5+24</f>
        <v>11737</v>
      </c>
      <c r="C21" s="8">
        <f>128.76+20985.86+17.46+76.36</f>
        <v>21208.44</v>
      </c>
      <c r="D21" s="7">
        <f t="shared" si="0"/>
        <v>34424945.971679993</v>
      </c>
      <c r="E21" s="8">
        <v>16</v>
      </c>
      <c r="F21" s="51">
        <v>24.89</v>
      </c>
      <c r="G21" s="7">
        <f t="shared" si="1"/>
        <v>40400.751080000002</v>
      </c>
      <c r="H21" s="8">
        <v>306</v>
      </c>
      <c r="I21" s="51">
        <v>627.47</v>
      </c>
      <c r="J21" s="7">
        <f t="shared" si="2"/>
        <v>1018491.7348399999</v>
      </c>
      <c r="K21" s="8">
        <v>1509</v>
      </c>
      <c r="L21" s="51">
        <v>2891.54</v>
      </c>
      <c r="M21" s="7">
        <f t="shared" si="3"/>
        <v>4693466.7648799997</v>
      </c>
      <c r="N21" s="7">
        <f t="shared" si="4"/>
        <v>13568</v>
      </c>
      <c r="O21" s="26">
        <f t="shared" si="5"/>
        <v>40177305.222479992</v>
      </c>
    </row>
    <row r="22" spans="1:15" ht="20.25" customHeight="1" x14ac:dyDescent="0.2">
      <c r="A22" s="6" t="s">
        <v>21</v>
      </c>
      <c r="B22" s="16">
        <f>26+5079+3+13</f>
        <v>5121</v>
      </c>
      <c r="C22" s="16">
        <f>37.17+8930.59+12.09+20.82</f>
        <v>9000.67</v>
      </c>
      <c r="D22" s="7">
        <f t="shared" si="0"/>
        <v>14609635.52524</v>
      </c>
      <c r="E22" s="16">
        <v>4</v>
      </c>
      <c r="F22" s="50">
        <v>8.2200000000000006</v>
      </c>
      <c r="G22" s="7">
        <f t="shared" si="1"/>
        <v>13342.473840000001</v>
      </c>
      <c r="H22" s="16">
        <v>379</v>
      </c>
      <c r="I22" s="50">
        <v>499.19</v>
      </c>
      <c r="J22" s="7">
        <f t="shared" si="2"/>
        <v>810271.23067999992</v>
      </c>
      <c r="K22" s="16">
        <v>1348</v>
      </c>
      <c r="L22" s="50">
        <v>1987.32</v>
      </c>
      <c r="M22" s="7">
        <f t="shared" si="3"/>
        <v>3225762.1790399994</v>
      </c>
      <c r="N22" s="7">
        <f t="shared" si="4"/>
        <v>6852</v>
      </c>
      <c r="O22" s="26">
        <f t="shared" si="5"/>
        <v>18659011.408799998</v>
      </c>
    </row>
    <row r="23" spans="1:15" ht="12" customHeight="1" x14ac:dyDescent="0.2">
      <c r="A23" s="10" t="s">
        <v>22</v>
      </c>
      <c r="B23" s="8">
        <f>14+3036+2+14</f>
        <v>3066</v>
      </c>
      <c r="C23" s="8">
        <f>17.29+4534.04+4.29+37.46</f>
        <v>4593.08</v>
      </c>
      <c r="D23" s="7">
        <f t="shared" si="0"/>
        <v>7455358.8497599997</v>
      </c>
      <c r="E23" s="8">
        <v>5</v>
      </c>
      <c r="F23" s="51">
        <v>5.03</v>
      </c>
      <c r="G23" s="7">
        <f t="shared" si="1"/>
        <v>8164.5551599999999</v>
      </c>
      <c r="H23" s="8">
        <v>587</v>
      </c>
      <c r="I23" s="51">
        <v>596.41</v>
      </c>
      <c r="J23" s="7">
        <f t="shared" si="2"/>
        <v>968076.01251999999</v>
      </c>
      <c r="K23" s="8">
        <v>1597</v>
      </c>
      <c r="L23" s="51">
        <v>1522.98</v>
      </c>
      <c r="M23" s="7">
        <f t="shared" si="3"/>
        <v>2472058.4925600002</v>
      </c>
      <c r="N23" s="7">
        <f t="shared" si="4"/>
        <v>5255</v>
      </c>
      <c r="O23" s="26">
        <f t="shared" si="5"/>
        <v>10903657.91</v>
      </c>
    </row>
    <row r="24" spans="1:15" ht="16.5" customHeight="1" x14ac:dyDescent="0.2">
      <c r="A24" s="10" t="s">
        <v>23</v>
      </c>
      <c r="B24" s="8">
        <f>25+6618+4+21</f>
        <v>6668</v>
      </c>
      <c r="C24" s="8">
        <f>38.64+11298.95+5.09+36.77</f>
        <v>11379.45</v>
      </c>
      <c r="D24" s="7">
        <f t="shared" si="0"/>
        <v>18470804.615400001</v>
      </c>
      <c r="E24" s="8">
        <v>22</v>
      </c>
      <c r="F24" s="51">
        <v>20.05</v>
      </c>
      <c r="G24" s="7">
        <f t="shared" si="1"/>
        <v>32544.598599999998</v>
      </c>
      <c r="H24" s="8">
        <v>406</v>
      </c>
      <c r="I24" s="51">
        <v>437.6</v>
      </c>
      <c r="J24" s="7">
        <f t="shared" si="2"/>
        <v>710300.06720000005</v>
      </c>
      <c r="K24" s="8">
        <v>1718</v>
      </c>
      <c r="L24" s="51">
        <v>1558.2</v>
      </c>
      <c r="M24" s="7">
        <f t="shared" si="3"/>
        <v>2529226.6103999997</v>
      </c>
      <c r="N24" s="7">
        <f t="shared" si="4"/>
        <v>8814</v>
      </c>
      <c r="O24" s="26">
        <f t="shared" si="5"/>
        <v>21742875.891600002</v>
      </c>
    </row>
    <row r="25" spans="1:15" ht="44.25" customHeight="1" x14ac:dyDescent="0.2">
      <c r="A25" s="10" t="s">
        <v>24</v>
      </c>
      <c r="B25" s="16">
        <f>56+248+1</f>
        <v>305</v>
      </c>
      <c r="C25" s="16">
        <f>28.25+186.64+0.74</f>
        <v>215.63</v>
      </c>
      <c r="D25" s="7">
        <f t="shared" si="0"/>
        <v>350004.57835999998</v>
      </c>
      <c r="E25" s="16">
        <v>3</v>
      </c>
      <c r="F25" s="50">
        <v>1.92</v>
      </c>
      <c r="G25" s="7">
        <f t="shared" si="1"/>
        <v>3116.4902399999996</v>
      </c>
      <c r="H25" s="16">
        <v>29383</v>
      </c>
      <c r="I25" s="50">
        <v>15398.8</v>
      </c>
      <c r="J25" s="7">
        <f t="shared" si="2"/>
        <v>24994900.9936</v>
      </c>
      <c r="K25" s="16">
        <v>356</v>
      </c>
      <c r="L25" s="50">
        <v>187.3</v>
      </c>
      <c r="M25" s="7">
        <f t="shared" si="3"/>
        <v>304020.11560000002</v>
      </c>
      <c r="N25" s="7">
        <f t="shared" si="4"/>
        <v>30047</v>
      </c>
      <c r="O25" s="26">
        <f t="shared" si="5"/>
        <v>25652042.1778</v>
      </c>
    </row>
    <row r="26" spans="1:15" ht="12" customHeight="1" x14ac:dyDescent="0.2">
      <c r="A26" s="10" t="s">
        <v>25</v>
      </c>
      <c r="B26" s="8">
        <f>5+262+1+4</f>
        <v>272</v>
      </c>
      <c r="C26" s="8">
        <f>12.63+795.6+2.35+9.82</f>
        <v>820.40000000000009</v>
      </c>
      <c r="D26" s="7">
        <f t="shared" si="0"/>
        <v>1331650.3088000002</v>
      </c>
      <c r="E26" s="8">
        <v>50</v>
      </c>
      <c r="F26" s="51">
        <v>136.65</v>
      </c>
      <c r="G26" s="7">
        <f t="shared" si="1"/>
        <v>221806.45379999999</v>
      </c>
      <c r="H26" s="8">
        <v>75</v>
      </c>
      <c r="I26" s="51">
        <v>113.92</v>
      </c>
      <c r="J26" s="7">
        <f t="shared" si="2"/>
        <v>184911.75424000001</v>
      </c>
      <c r="K26" s="8">
        <v>81</v>
      </c>
      <c r="L26" s="51">
        <v>184.29</v>
      </c>
      <c r="M26" s="7">
        <f t="shared" si="3"/>
        <v>299134.36787999998</v>
      </c>
      <c r="N26" s="7">
        <f t="shared" si="4"/>
        <v>478</v>
      </c>
      <c r="O26" s="26">
        <f t="shared" si="5"/>
        <v>2037502.8847200002</v>
      </c>
    </row>
    <row r="27" spans="1:15" ht="12" customHeight="1" thickBot="1" x14ac:dyDescent="0.25">
      <c r="A27" s="11" t="s">
        <v>26</v>
      </c>
      <c r="B27" s="12">
        <v>44</v>
      </c>
      <c r="C27" s="12">
        <v>32.47</v>
      </c>
      <c r="D27" s="7">
        <f t="shared" si="0"/>
        <v>52704.394839999994</v>
      </c>
      <c r="E27" s="12">
        <v>0</v>
      </c>
      <c r="F27" s="52">
        <v>0</v>
      </c>
      <c r="G27" s="7">
        <f t="shared" si="1"/>
        <v>0</v>
      </c>
      <c r="H27" s="12">
        <v>117</v>
      </c>
      <c r="I27" s="52">
        <v>32.79</v>
      </c>
      <c r="J27" s="7">
        <f t="shared" si="2"/>
        <v>53223.809879999993</v>
      </c>
      <c r="K27" s="12">
        <v>201</v>
      </c>
      <c r="L27" s="52">
        <v>71.53</v>
      </c>
      <c r="M27" s="7">
        <f t="shared" si="3"/>
        <v>116105.49316</v>
      </c>
      <c r="N27" s="33">
        <f t="shared" si="4"/>
        <v>362</v>
      </c>
      <c r="O27" s="47">
        <f t="shared" si="5"/>
        <v>222033.69787999999</v>
      </c>
    </row>
    <row r="28" spans="1:15" ht="12" customHeight="1" thickBot="1" x14ac:dyDescent="0.25">
      <c r="A28" s="14" t="s">
        <v>27</v>
      </c>
      <c r="B28" s="25">
        <f>SUM(B6:B27)</f>
        <v>221204</v>
      </c>
      <c r="C28" s="46">
        <f>SUM(C6:C27)</f>
        <v>451157.14000000007</v>
      </c>
      <c r="D28" s="48">
        <f>SUM(D6:D27)</f>
        <v>732305637.2480799</v>
      </c>
      <c r="E28" s="25">
        <f t="shared" ref="E28:L28" si="6">SUM(E6:E27)</f>
        <v>1494</v>
      </c>
      <c r="F28" s="46">
        <f t="shared" si="6"/>
        <v>2316.19</v>
      </c>
      <c r="G28" s="25">
        <f t="shared" si="6"/>
        <v>3759574.7546800002</v>
      </c>
      <c r="H28" s="25">
        <f t="shared" si="6"/>
        <v>52447</v>
      </c>
      <c r="I28" s="46">
        <f t="shared" si="6"/>
        <v>43568.939999999995</v>
      </c>
      <c r="J28" s="25">
        <f t="shared" si="6"/>
        <v>70719883.477679998</v>
      </c>
      <c r="K28" s="25">
        <f t="shared" si="6"/>
        <v>81559</v>
      </c>
      <c r="L28" s="46">
        <f t="shared" si="6"/>
        <v>85804.58</v>
      </c>
      <c r="M28" s="48">
        <f>SUM(M6:M27)</f>
        <v>139275591.72775999</v>
      </c>
      <c r="N28" s="25">
        <f>SUM(N6:N27)</f>
        <v>356704</v>
      </c>
      <c r="O28" s="27">
        <f>SUM(O6:O27)</f>
        <v>946060687.20819986</v>
      </c>
    </row>
    <row r="29" spans="1:15" x14ac:dyDescent="0.2">
      <c r="A29" s="91" t="s">
        <v>30</v>
      </c>
      <c r="B29" s="91"/>
      <c r="C29" s="91"/>
      <c r="D29" s="91"/>
      <c r="E29" s="91"/>
      <c r="F29" s="91"/>
      <c r="G29" s="91"/>
      <c r="H29" s="91"/>
      <c r="I29" s="91"/>
      <c r="J29" s="91"/>
      <c r="K29" s="91"/>
      <c r="L29" s="91"/>
      <c r="M29" s="91"/>
      <c r="N29" s="91"/>
      <c r="O29" s="91"/>
    </row>
    <row r="30" spans="1:15" x14ac:dyDescent="0.2">
      <c r="A30" s="92" t="s">
        <v>31</v>
      </c>
      <c r="B30" s="92"/>
      <c r="C30" s="92"/>
      <c r="D30" s="92"/>
      <c r="E30" s="92"/>
      <c r="F30" s="92"/>
      <c r="G30" s="92"/>
      <c r="H30" s="92"/>
      <c r="I30" s="92"/>
      <c r="J30" s="92"/>
      <c r="K30" s="92"/>
      <c r="L30" s="92"/>
      <c r="M30" s="92"/>
      <c r="N30" s="92"/>
      <c r="O30" s="92"/>
    </row>
    <row r="31" spans="1:15" ht="13.5" x14ac:dyDescent="0.2">
      <c r="A31" s="23" t="s">
        <v>61</v>
      </c>
    </row>
    <row r="32" spans="1:15" ht="13.5" x14ac:dyDescent="0.2">
      <c r="A32" s="23" t="s">
        <v>38</v>
      </c>
    </row>
    <row r="33" spans="1:15" x14ac:dyDescent="0.2">
      <c r="A33" s="15" t="s">
        <v>57</v>
      </c>
      <c r="K33" s="1"/>
      <c r="L33" s="1"/>
      <c r="M33" s="24" t="s">
        <v>33</v>
      </c>
      <c r="N33" s="1"/>
      <c r="O33" s="1"/>
    </row>
    <row r="34" spans="1:15" x14ac:dyDescent="0.2">
      <c r="A34" s="22">
        <v>42514</v>
      </c>
      <c r="K34" s="1"/>
      <c r="L34" s="1"/>
      <c r="M34" s="24" t="s">
        <v>34</v>
      </c>
      <c r="N34" s="1"/>
      <c r="O34" s="1"/>
    </row>
  </sheetData>
  <mergeCells count="11">
    <mergeCell ref="A29:O29"/>
    <mergeCell ref="A30:O30"/>
    <mergeCell ref="A1:O1"/>
    <mergeCell ref="B2:O2"/>
    <mergeCell ref="A3:A5"/>
    <mergeCell ref="B3:O3"/>
    <mergeCell ref="B4:D4"/>
    <mergeCell ref="E4:G4"/>
    <mergeCell ref="H4:J4"/>
    <mergeCell ref="K4:M4"/>
    <mergeCell ref="N4:O4"/>
  </mergeCells>
  <pageMargins left="0.7" right="0.7" top="0.75" bottom="0.75" header="0.3" footer="0.3"/>
  <pageSetup scale="66" orientation="landscape" r:id="rId1"/>
  <colBreaks count="1" manualBreakCount="1">
    <brk id="1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opLeftCell="G23" workbookViewId="0">
      <selection activeCell="Q23" sqref="Q1:Q65536"/>
    </sheetView>
  </sheetViews>
  <sheetFormatPr defaultRowHeight="12.75" x14ac:dyDescent="0.2"/>
  <cols>
    <col min="1" max="1" width="41.7109375" customWidth="1"/>
    <col min="3" max="3" width="14.42578125" customWidth="1"/>
    <col min="4" max="4" width="12" customWidth="1"/>
    <col min="6" max="6" width="10" customWidth="1"/>
    <col min="7" max="7" width="11.140625" customWidth="1"/>
    <col min="9" max="9" width="10.7109375" customWidth="1"/>
    <col min="10" max="10" width="10.42578125" customWidth="1"/>
    <col min="12" max="12" width="10.140625" customWidth="1"/>
    <col min="13" max="13" width="11.7109375" customWidth="1"/>
    <col min="15" max="15" width="9.5703125" bestFit="1" customWidth="1"/>
  </cols>
  <sheetData>
    <row r="1" spans="1:15" ht="29.25" customHeight="1" thickBot="1" x14ac:dyDescent="0.25">
      <c r="A1" s="111" t="s">
        <v>52</v>
      </c>
      <c r="B1" s="111"/>
      <c r="C1" s="111"/>
      <c r="D1" s="111"/>
      <c r="E1" s="111"/>
      <c r="F1" s="111"/>
      <c r="G1" s="111"/>
      <c r="H1" s="111"/>
      <c r="I1" s="111"/>
      <c r="J1" s="111"/>
      <c r="K1" s="111"/>
      <c r="L1" s="111"/>
      <c r="M1" s="111"/>
      <c r="N1" s="111"/>
      <c r="O1" s="111"/>
    </row>
    <row r="2" spans="1:15" x14ac:dyDescent="0.2">
      <c r="A2" s="2" t="s">
        <v>4</v>
      </c>
      <c r="B2" s="120">
        <v>2013</v>
      </c>
      <c r="C2" s="121"/>
      <c r="D2" s="121"/>
      <c r="E2" s="121"/>
      <c r="F2" s="121"/>
      <c r="G2" s="121"/>
      <c r="H2" s="121"/>
      <c r="I2" s="121"/>
      <c r="J2" s="121"/>
      <c r="K2" s="121"/>
      <c r="L2" s="121"/>
      <c r="M2" s="121"/>
      <c r="N2" s="121"/>
      <c r="O2" s="122"/>
    </row>
    <row r="3" spans="1:15" ht="12" customHeight="1" x14ac:dyDescent="0.2">
      <c r="A3" s="123" t="s">
        <v>40</v>
      </c>
      <c r="B3" s="100" t="s">
        <v>1</v>
      </c>
      <c r="C3" s="101"/>
      <c r="D3" s="101"/>
      <c r="E3" s="101"/>
      <c r="F3" s="101"/>
      <c r="G3" s="101"/>
      <c r="H3" s="101"/>
      <c r="I3" s="101"/>
      <c r="J3" s="101"/>
      <c r="K3" s="101"/>
      <c r="L3" s="101"/>
      <c r="M3" s="101"/>
      <c r="N3" s="101"/>
      <c r="O3" s="102"/>
    </row>
    <row r="4" spans="1:15" ht="12" customHeight="1" x14ac:dyDescent="0.2">
      <c r="A4" s="124"/>
      <c r="B4" s="125" t="s">
        <v>0</v>
      </c>
      <c r="C4" s="125"/>
      <c r="D4" s="126"/>
      <c r="E4" s="126" t="s">
        <v>3</v>
      </c>
      <c r="F4" s="126"/>
      <c r="G4" s="126"/>
      <c r="H4" s="126" t="s">
        <v>28</v>
      </c>
      <c r="I4" s="126"/>
      <c r="J4" s="126"/>
      <c r="K4" s="126" t="s">
        <v>29</v>
      </c>
      <c r="L4" s="126"/>
      <c r="M4" s="126"/>
      <c r="N4" s="126" t="s">
        <v>39</v>
      </c>
      <c r="O4" s="127"/>
    </row>
    <row r="5" spans="1:15" ht="34.5" customHeight="1" x14ac:dyDescent="0.2">
      <c r="A5" s="124"/>
      <c r="B5" s="3" t="s">
        <v>2</v>
      </c>
      <c r="C5" s="3" t="s">
        <v>44</v>
      </c>
      <c r="D5" s="4" t="s">
        <v>32</v>
      </c>
      <c r="E5" s="4" t="s">
        <v>2</v>
      </c>
      <c r="F5" s="3" t="s">
        <v>44</v>
      </c>
      <c r="G5" s="4" t="s">
        <v>32</v>
      </c>
      <c r="H5" s="4" t="s">
        <v>2</v>
      </c>
      <c r="I5" s="3" t="s">
        <v>44</v>
      </c>
      <c r="J5" s="4" t="s">
        <v>32</v>
      </c>
      <c r="K5" s="4" t="s">
        <v>2</v>
      </c>
      <c r="L5" s="3" t="s">
        <v>44</v>
      </c>
      <c r="M5" s="4" t="s">
        <v>32</v>
      </c>
      <c r="N5" s="4" t="s">
        <v>2</v>
      </c>
      <c r="O5" s="5" t="s">
        <v>32</v>
      </c>
    </row>
    <row r="6" spans="1:15" ht="12" customHeight="1" x14ac:dyDescent="0.2">
      <c r="A6" s="6" t="s">
        <v>5</v>
      </c>
      <c r="B6" s="7">
        <f>27+2041+3</f>
        <v>2071</v>
      </c>
      <c r="C6" s="7">
        <f>16.92+3074.26+4.07</f>
        <v>3095.2500000000005</v>
      </c>
      <c r="D6" s="7">
        <f>C6*9068*0.179</f>
        <v>5024123.1330000004</v>
      </c>
      <c r="E6" s="7">
        <v>5</v>
      </c>
      <c r="F6" s="50">
        <v>5.57</v>
      </c>
      <c r="G6" s="7">
        <f>F6*9068*0.179</f>
        <v>9041.0680400000001</v>
      </c>
      <c r="H6" s="7">
        <v>4643</v>
      </c>
      <c r="I6" s="50">
        <v>1918.26</v>
      </c>
      <c r="J6" s="7">
        <f>I6*9068*0.179</f>
        <v>3113665.9207199998</v>
      </c>
      <c r="K6" s="7">
        <v>1427</v>
      </c>
      <c r="L6" s="50">
        <v>919.46</v>
      </c>
      <c r="M6" s="7">
        <f>L6*9068*0.179</f>
        <v>1492441.7271199999</v>
      </c>
      <c r="N6" s="7">
        <f>B6+E6+H6+K6</f>
        <v>8146</v>
      </c>
      <c r="O6" s="26">
        <f>D6+G6+J6+M6</f>
        <v>9639271.8488800004</v>
      </c>
    </row>
    <row r="7" spans="1:15" ht="12" customHeight="1" x14ac:dyDescent="0.2">
      <c r="A7" s="6" t="s">
        <v>6</v>
      </c>
      <c r="B7" s="7">
        <f>1+585+3</f>
        <v>589</v>
      </c>
      <c r="C7" s="7">
        <f>0.62+1377.27+9.39</f>
        <v>1387.28</v>
      </c>
      <c r="D7" s="7">
        <f t="shared" ref="D7:D27" si="0">C7*9068*0.179</f>
        <v>2251794.05216</v>
      </c>
      <c r="E7" s="7">
        <v>6</v>
      </c>
      <c r="F7" s="50">
        <v>7.02</v>
      </c>
      <c r="G7" s="7">
        <f t="shared" ref="G7:G27" si="1">F7*9068*0.179</f>
        <v>11394.667439999997</v>
      </c>
      <c r="H7" s="7">
        <v>65</v>
      </c>
      <c r="I7" s="50">
        <v>121.56</v>
      </c>
      <c r="J7" s="7">
        <f t="shared" ref="J7:J27" si="2">I7*9068*0.179</f>
        <v>197312.78831999999</v>
      </c>
      <c r="K7" s="7">
        <v>149</v>
      </c>
      <c r="L7" s="50">
        <v>262.26</v>
      </c>
      <c r="M7" s="7">
        <f>L7*9068*0.179</f>
        <v>425693.08871999994</v>
      </c>
      <c r="N7" s="7">
        <f>B7+E7+H7+K7</f>
        <v>809</v>
      </c>
      <c r="O7" s="26">
        <f>D7+G7+J7+M7</f>
        <v>2886194.5966399997</v>
      </c>
    </row>
    <row r="8" spans="1:15" ht="12" customHeight="1" x14ac:dyDescent="0.2">
      <c r="A8" s="6" t="s">
        <v>7</v>
      </c>
      <c r="B8" s="7">
        <f>112+21142+9+52</f>
        <v>21315</v>
      </c>
      <c r="C8" s="7">
        <f>165.09+36660.11+19.58+120.48</f>
        <v>36965.26</v>
      </c>
      <c r="D8" s="7">
        <f t="shared" si="0"/>
        <v>60000975.004720002</v>
      </c>
      <c r="E8" s="7">
        <v>108</v>
      </c>
      <c r="F8" s="50">
        <v>100.69</v>
      </c>
      <c r="G8" s="7">
        <f t="shared" si="1"/>
        <v>163437.18867999999</v>
      </c>
      <c r="H8" s="7">
        <v>1401</v>
      </c>
      <c r="I8" s="50">
        <v>1516.11</v>
      </c>
      <c r="J8" s="7">
        <f t="shared" si="2"/>
        <v>2460907.3009199998</v>
      </c>
      <c r="K8" s="7">
        <v>7797</v>
      </c>
      <c r="L8" s="50">
        <v>8243.75</v>
      </c>
      <c r="M8" s="7">
        <f t="shared" ref="M8:M27" si="3">L8*9068*0.179</f>
        <v>13381024.174999999</v>
      </c>
      <c r="N8" s="7">
        <f t="shared" ref="N8:N27" si="4">B8+E8+H8+K8</f>
        <v>30621</v>
      </c>
      <c r="O8" s="26">
        <f t="shared" ref="O8:O27" si="5">D8+G8+J8+M8</f>
        <v>76006343.669320002</v>
      </c>
    </row>
    <row r="9" spans="1:15" ht="21.75" customHeight="1" x14ac:dyDescent="0.2">
      <c r="A9" s="6" t="s">
        <v>8</v>
      </c>
      <c r="B9" s="7">
        <f>5+2400+6</f>
        <v>2411</v>
      </c>
      <c r="C9" s="7">
        <f>14.48+8017.36+28.05</f>
        <v>8059.8899999999994</v>
      </c>
      <c r="D9" s="7">
        <f t="shared" si="0"/>
        <v>13082587.771079998</v>
      </c>
      <c r="E9" s="7">
        <v>0</v>
      </c>
      <c r="F9" s="50">
        <v>0</v>
      </c>
      <c r="G9" s="7">
        <f t="shared" si="1"/>
        <v>0</v>
      </c>
      <c r="H9" s="7">
        <v>14</v>
      </c>
      <c r="I9" s="50">
        <v>18.77</v>
      </c>
      <c r="J9" s="7">
        <f t="shared" si="2"/>
        <v>30466.938439999994</v>
      </c>
      <c r="K9" s="7">
        <v>27</v>
      </c>
      <c r="L9" s="50">
        <v>56.39</v>
      </c>
      <c r="M9" s="7">
        <f t="shared" si="3"/>
        <v>91530.669079999992</v>
      </c>
      <c r="N9" s="7">
        <f t="shared" si="4"/>
        <v>2452</v>
      </c>
      <c r="O9" s="26">
        <f t="shared" si="5"/>
        <v>13204585.378599999</v>
      </c>
    </row>
    <row r="10" spans="1:15" ht="22.5" customHeight="1" x14ac:dyDescent="0.2">
      <c r="A10" s="6" t="s">
        <v>9</v>
      </c>
      <c r="B10" s="7">
        <f>3+1183+3</f>
        <v>1189</v>
      </c>
      <c r="C10" s="7">
        <f>2.35+2508.04+3.37</f>
        <v>2513.7599999999998</v>
      </c>
      <c r="D10" s="7">
        <f t="shared" si="0"/>
        <v>4080264.8467199998</v>
      </c>
      <c r="E10" s="7">
        <v>1</v>
      </c>
      <c r="F10" s="50">
        <v>2.17</v>
      </c>
      <c r="G10" s="7">
        <f t="shared" si="1"/>
        <v>3522.2832399999993</v>
      </c>
      <c r="H10" s="7">
        <v>88</v>
      </c>
      <c r="I10" s="50">
        <v>86.9</v>
      </c>
      <c r="J10" s="7">
        <f t="shared" si="2"/>
        <v>141053.64680000002</v>
      </c>
      <c r="K10" s="7">
        <v>436</v>
      </c>
      <c r="L10" s="50">
        <v>503.41</v>
      </c>
      <c r="M10" s="7">
        <f t="shared" si="3"/>
        <v>817121.01651999995</v>
      </c>
      <c r="N10" s="7">
        <f t="shared" si="4"/>
        <v>1714</v>
      </c>
      <c r="O10" s="26">
        <f t="shared" si="5"/>
        <v>5041961.7932799999</v>
      </c>
    </row>
    <row r="11" spans="1:15" ht="12" customHeight="1" x14ac:dyDescent="0.2">
      <c r="A11" s="6" t="s">
        <v>10</v>
      </c>
      <c r="B11" s="7">
        <f>67+16724+2+67</f>
        <v>16860</v>
      </c>
      <c r="C11" s="7">
        <f>85.43+26973.22+6.92+140.76</f>
        <v>27206.329999999998</v>
      </c>
      <c r="D11" s="7">
        <f t="shared" si="0"/>
        <v>44160553.078759998</v>
      </c>
      <c r="E11" s="7">
        <v>327</v>
      </c>
      <c r="F11" s="50">
        <v>474.37</v>
      </c>
      <c r="G11" s="7">
        <f t="shared" si="1"/>
        <v>769984.10164000001</v>
      </c>
      <c r="H11" s="7">
        <v>1422</v>
      </c>
      <c r="I11" s="50">
        <v>1122.5999999999999</v>
      </c>
      <c r="J11" s="7">
        <f t="shared" si="2"/>
        <v>1822172.8871999998</v>
      </c>
      <c r="K11" s="7">
        <v>7910</v>
      </c>
      <c r="L11" s="50">
        <v>6757.28</v>
      </c>
      <c r="M11" s="7">
        <f t="shared" si="3"/>
        <v>10968227.692159999</v>
      </c>
      <c r="N11" s="7">
        <f t="shared" si="4"/>
        <v>26519</v>
      </c>
      <c r="O11" s="26">
        <f t="shared" si="5"/>
        <v>57720937.759759992</v>
      </c>
    </row>
    <row r="12" spans="1:15" ht="21" customHeight="1" x14ac:dyDescent="0.2">
      <c r="A12" s="6" t="s">
        <v>11</v>
      </c>
      <c r="B12" s="7">
        <f>235+48713+20+139</f>
        <v>49107</v>
      </c>
      <c r="C12" s="7">
        <f>363.56+74105.37+33.79+288.59</f>
        <v>74791.309999999983</v>
      </c>
      <c r="D12" s="7">
        <f t="shared" si="0"/>
        <v>121399160.23531996</v>
      </c>
      <c r="E12" s="7">
        <v>140</v>
      </c>
      <c r="F12" s="50">
        <v>165.99</v>
      </c>
      <c r="G12" s="7">
        <f t="shared" si="1"/>
        <v>269430.32027999999</v>
      </c>
      <c r="H12" s="7">
        <v>3425</v>
      </c>
      <c r="I12" s="50">
        <v>4402.18</v>
      </c>
      <c r="J12" s="7">
        <f t="shared" si="2"/>
        <v>7145495.3149600001</v>
      </c>
      <c r="K12" s="7">
        <v>12513</v>
      </c>
      <c r="L12" s="50">
        <v>13348.97</v>
      </c>
      <c r="M12" s="7">
        <f t="shared" si="3"/>
        <v>21667674.332839999</v>
      </c>
      <c r="N12" s="7">
        <f t="shared" si="4"/>
        <v>65185</v>
      </c>
      <c r="O12" s="26">
        <f t="shared" si="5"/>
        <v>150481760.20339996</v>
      </c>
    </row>
    <row r="13" spans="1:15" ht="12" customHeight="1" x14ac:dyDescent="0.2">
      <c r="A13" s="6" t="s">
        <v>12</v>
      </c>
      <c r="B13" s="7">
        <f>37+10423+3+35</f>
        <v>10498</v>
      </c>
      <c r="C13" s="7">
        <f>88.13+23790.42+6.36+125.08</f>
        <v>24009.99</v>
      </c>
      <c r="D13" s="7">
        <f t="shared" si="0"/>
        <v>38972343.488280006</v>
      </c>
      <c r="E13" s="7">
        <v>27</v>
      </c>
      <c r="F13" s="50">
        <v>40.81</v>
      </c>
      <c r="G13" s="7">
        <f t="shared" si="1"/>
        <v>66241.649319999997</v>
      </c>
      <c r="H13" s="7">
        <v>719</v>
      </c>
      <c r="I13" s="50">
        <v>2129.85</v>
      </c>
      <c r="J13" s="7">
        <f t="shared" si="2"/>
        <v>3457112.8842000002</v>
      </c>
      <c r="K13" s="7">
        <v>5414</v>
      </c>
      <c r="L13" s="50">
        <v>6316.56</v>
      </c>
      <c r="M13" s="7">
        <f t="shared" si="3"/>
        <v>10252863.32832</v>
      </c>
      <c r="N13" s="7">
        <f t="shared" si="4"/>
        <v>16658</v>
      </c>
      <c r="O13" s="26">
        <f t="shared" si="5"/>
        <v>52748561.350120008</v>
      </c>
    </row>
    <row r="14" spans="1:15" ht="20.25" customHeight="1" x14ac:dyDescent="0.2">
      <c r="A14" s="6" t="s">
        <v>13</v>
      </c>
      <c r="B14" s="7">
        <f>110+24235+5+33</f>
        <v>24383</v>
      </c>
      <c r="C14" s="7">
        <f>96.23+29958.85+2.15+56.32</f>
        <v>30113.55</v>
      </c>
      <c r="D14" s="7">
        <f t="shared" si="0"/>
        <v>48879471.180599995</v>
      </c>
      <c r="E14" s="7">
        <v>131</v>
      </c>
      <c r="F14" s="50">
        <v>247.49</v>
      </c>
      <c r="G14" s="7">
        <f t="shared" si="1"/>
        <v>401718.83828000003</v>
      </c>
      <c r="H14" s="7">
        <v>3419</v>
      </c>
      <c r="I14" s="50">
        <v>2847.88</v>
      </c>
      <c r="J14" s="7">
        <f t="shared" si="2"/>
        <v>4622599.0753600001</v>
      </c>
      <c r="K14" s="7">
        <v>21671</v>
      </c>
      <c r="L14" s="50">
        <v>15581.15</v>
      </c>
      <c r="M14" s="7">
        <f t="shared" si="3"/>
        <v>25290886.407799996</v>
      </c>
      <c r="N14" s="7">
        <f t="shared" si="4"/>
        <v>49604</v>
      </c>
      <c r="O14" s="26">
        <f t="shared" si="5"/>
        <v>79194675.502039999</v>
      </c>
    </row>
    <row r="15" spans="1:15" ht="12" customHeight="1" x14ac:dyDescent="0.2">
      <c r="A15" s="6" t="s">
        <v>14</v>
      </c>
      <c r="B15" s="7">
        <f>40+8503+5+43</f>
        <v>8591</v>
      </c>
      <c r="C15" s="7">
        <f>111.03+23247.86+9.91+144.94</f>
        <v>23513.739999999998</v>
      </c>
      <c r="D15" s="7">
        <f t="shared" si="0"/>
        <v>38166844.383279994</v>
      </c>
      <c r="E15" s="7">
        <v>38</v>
      </c>
      <c r="F15" s="50">
        <v>104.69</v>
      </c>
      <c r="G15" s="7">
        <f t="shared" si="1"/>
        <v>169929.87667999999</v>
      </c>
      <c r="H15" s="7">
        <v>644</v>
      </c>
      <c r="I15" s="50">
        <v>1774.22</v>
      </c>
      <c r="J15" s="7">
        <f t="shared" si="2"/>
        <v>2879864.22584</v>
      </c>
      <c r="K15" s="7">
        <v>1135</v>
      </c>
      <c r="L15" s="50">
        <v>2427.1999999999998</v>
      </c>
      <c r="M15" s="7">
        <f t="shared" si="3"/>
        <v>3939763.0783999995</v>
      </c>
      <c r="N15" s="7">
        <f t="shared" si="4"/>
        <v>10408</v>
      </c>
      <c r="O15" s="26">
        <f t="shared" si="5"/>
        <v>45156401.564199999</v>
      </c>
    </row>
    <row r="16" spans="1:15" ht="12" customHeight="1" x14ac:dyDescent="0.2">
      <c r="A16" s="6" t="s">
        <v>15</v>
      </c>
      <c r="B16" s="7">
        <f>66+17701+7+75</f>
        <v>17849</v>
      </c>
      <c r="C16" s="7">
        <f>237.1+61974.49+29.47+288.09</f>
        <v>62529.149999999994</v>
      </c>
      <c r="D16" s="7">
        <f t="shared" si="0"/>
        <v>101495565.46379998</v>
      </c>
      <c r="E16" s="7">
        <v>19</v>
      </c>
      <c r="F16" s="50">
        <v>32.85</v>
      </c>
      <c r="G16" s="7">
        <f t="shared" si="1"/>
        <v>53321.200199999992</v>
      </c>
      <c r="H16" s="7">
        <v>1116</v>
      </c>
      <c r="I16" s="50">
        <v>3542.48</v>
      </c>
      <c r="J16" s="7">
        <f t="shared" si="2"/>
        <v>5750054.3465599995</v>
      </c>
      <c r="K16" s="7">
        <v>1265</v>
      </c>
      <c r="L16" s="50">
        <v>3043.59</v>
      </c>
      <c r="M16" s="7">
        <f t="shared" si="3"/>
        <v>4940270.0674799997</v>
      </c>
      <c r="N16" s="7">
        <f t="shared" si="4"/>
        <v>20249</v>
      </c>
      <c r="O16" s="26">
        <f t="shared" si="5"/>
        <v>112239211.07803999</v>
      </c>
    </row>
    <row r="17" spans="1:15" ht="12" customHeight="1" x14ac:dyDescent="0.2">
      <c r="A17" s="6" t="s">
        <v>16</v>
      </c>
      <c r="B17" s="7">
        <f>7+1783+1+8</f>
        <v>1799</v>
      </c>
      <c r="C17" s="7">
        <f>12.03+2532.01+2.39+11.72</f>
        <v>2558.15</v>
      </c>
      <c r="D17" s="7">
        <f t="shared" si="0"/>
        <v>4152317.4517999999</v>
      </c>
      <c r="E17" s="7">
        <v>2</v>
      </c>
      <c r="F17" s="50">
        <v>2.63</v>
      </c>
      <c r="G17" s="7">
        <f t="shared" si="1"/>
        <v>4268.94236</v>
      </c>
      <c r="H17" s="7">
        <v>119</v>
      </c>
      <c r="I17" s="50">
        <v>135.03</v>
      </c>
      <c r="J17" s="7">
        <f t="shared" si="2"/>
        <v>219176.91516</v>
      </c>
      <c r="K17" s="7">
        <v>585</v>
      </c>
      <c r="L17" s="50">
        <v>646.70000000000005</v>
      </c>
      <c r="M17" s="7">
        <f t="shared" si="3"/>
        <v>1049705.3324</v>
      </c>
      <c r="N17" s="7">
        <f t="shared" si="4"/>
        <v>2505</v>
      </c>
      <c r="O17" s="26">
        <f t="shared" si="5"/>
        <v>5425468.6417199997</v>
      </c>
    </row>
    <row r="18" spans="1:15" ht="12" customHeight="1" x14ac:dyDescent="0.2">
      <c r="A18" s="6" t="s">
        <v>17</v>
      </c>
      <c r="B18" s="7">
        <f>98+17581+15+80</f>
        <v>17774</v>
      </c>
      <c r="C18" s="7">
        <f>222.92+38705.26+27.32+236.33</f>
        <v>39191.83</v>
      </c>
      <c r="D18" s="7">
        <f t="shared" si="0"/>
        <v>63615081.084759995</v>
      </c>
      <c r="E18" s="7">
        <v>27</v>
      </c>
      <c r="F18" s="50">
        <v>41.77</v>
      </c>
      <c r="G18" s="7">
        <f t="shared" si="1"/>
        <v>67799.894440000004</v>
      </c>
      <c r="H18" s="7">
        <v>1461</v>
      </c>
      <c r="I18" s="50">
        <v>3882.79</v>
      </c>
      <c r="J18" s="7">
        <f t="shared" si="2"/>
        <v>6302436.0098799998</v>
      </c>
      <c r="K18" s="7">
        <v>2850</v>
      </c>
      <c r="L18" s="50">
        <v>5017.1000000000004</v>
      </c>
      <c r="M18" s="7">
        <f t="shared" si="3"/>
        <v>8143616.2412</v>
      </c>
      <c r="N18" s="7">
        <f t="shared" si="4"/>
        <v>22112</v>
      </c>
      <c r="O18" s="26">
        <f t="shared" si="5"/>
        <v>78128933.230279997</v>
      </c>
    </row>
    <row r="19" spans="1:15" ht="12" customHeight="1" x14ac:dyDescent="0.2">
      <c r="A19" s="6" t="s">
        <v>18</v>
      </c>
      <c r="B19" s="7">
        <f>36+4703+6+22</f>
        <v>4767</v>
      </c>
      <c r="C19" s="7">
        <f>61.16+7449.41+14.14+32.46</f>
        <v>7557.17</v>
      </c>
      <c r="D19" s="7">
        <f t="shared" si="0"/>
        <v>12266586.743240001</v>
      </c>
      <c r="E19" s="7">
        <v>11</v>
      </c>
      <c r="F19" s="50">
        <v>15.55</v>
      </c>
      <c r="G19" s="7">
        <f t="shared" si="1"/>
        <v>25240.324599999996</v>
      </c>
      <c r="H19" s="7">
        <v>529</v>
      </c>
      <c r="I19" s="50">
        <v>647.53</v>
      </c>
      <c r="J19" s="7">
        <f t="shared" si="2"/>
        <v>1051052.56516</v>
      </c>
      <c r="K19" s="7">
        <v>3267</v>
      </c>
      <c r="L19" s="50">
        <v>3263.15</v>
      </c>
      <c r="M19" s="7">
        <f t="shared" si="3"/>
        <v>5296653.7117999997</v>
      </c>
      <c r="N19" s="7">
        <f t="shared" si="4"/>
        <v>8574</v>
      </c>
      <c r="O19" s="26">
        <f t="shared" si="5"/>
        <v>18639533.344800003</v>
      </c>
    </row>
    <row r="20" spans="1:15" ht="21.75" customHeight="1" x14ac:dyDescent="0.2">
      <c r="A20" s="6" t="s">
        <v>19</v>
      </c>
      <c r="B20" s="7">
        <f>9+10290+2+29</f>
        <v>10330</v>
      </c>
      <c r="C20" s="7">
        <f>15.54+19079.96+5.19+72.79</f>
        <v>19173.48</v>
      </c>
      <c r="D20" s="7">
        <f t="shared" si="0"/>
        <v>31121855.878559995</v>
      </c>
      <c r="E20" s="7">
        <v>51</v>
      </c>
      <c r="F20" s="50">
        <v>177.1</v>
      </c>
      <c r="G20" s="7">
        <f t="shared" si="1"/>
        <v>287463.76120000001</v>
      </c>
      <c r="H20" s="7">
        <v>37</v>
      </c>
      <c r="I20" s="50">
        <v>81.89</v>
      </c>
      <c r="J20" s="7">
        <f t="shared" si="2"/>
        <v>132921.55507999999</v>
      </c>
      <c r="K20" s="7">
        <v>194</v>
      </c>
      <c r="L20" s="50">
        <v>289.3</v>
      </c>
      <c r="M20" s="7">
        <f t="shared" si="3"/>
        <v>469583.65959999996</v>
      </c>
      <c r="N20" s="7">
        <f t="shared" si="4"/>
        <v>10612</v>
      </c>
      <c r="O20" s="26">
        <f t="shared" si="5"/>
        <v>32011824.854439996</v>
      </c>
    </row>
    <row r="21" spans="1:15" ht="12" customHeight="1" x14ac:dyDescent="0.2">
      <c r="A21" s="6" t="s">
        <v>20</v>
      </c>
      <c r="B21" s="8">
        <f>53+12087+6+22</f>
        <v>12168</v>
      </c>
      <c r="C21" s="8">
        <f>119.59+20183.82+17.19+72.1</f>
        <v>20392.699999999997</v>
      </c>
      <c r="D21" s="7">
        <f t="shared" si="0"/>
        <v>33100859.644399993</v>
      </c>
      <c r="E21" s="8">
        <v>13</v>
      </c>
      <c r="F21" s="51">
        <v>21.45</v>
      </c>
      <c r="G21" s="7">
        <f t="shared" si="1"/>
        <v>34817.039400000001</v>
      </c>
      <c r="H21" s="8">
        <v>292</v>
      </c>
      <c r="I21" s="51">
        <v>609.88</v>
      </c>
      <c r="J21" s="7">
        <f t="shared" si="2"/>
        <v>989940.13935999991</v>
      </c>
      <c r="K21" s="8">
        <v>1483</v>
      </c>
      <c r="L21" s="51">
        <v>2772.63</v>
      </c>
      <c r="M21" s="7">
        <f t="shared" si="3"/>
        <v>4500455.3823600002</v>
      </c>
      <c r="N21" s="7">
        <f t="shared" si="4"/>
        <v>13956</v>
      </c>
      <c r="O21" s="26">
        <f t="shared" si="5"/>
        <v>38626072.205519989</v>
      </c>
    </row>
    <row r="22" spans="1:15" ht="20.25" customHeight="1" x14ac:dyDescent="0.2">
      <c r="A22" s="6" t="s">
        <v>21</v>
      </c>
      <c r="B22" s="16">
        <f>20+5121+3+14</f>
        <v>5158</v>
      </c>
      <c r="C22" s="16">
        <f>30.84+8627.69+7.42+21.26</f>
        <v>8687.2100000000009</v>
      </c>
      <c r="D22" s="7">
        <f t="shared" si="0"/>
        <v>14100836.03012</v>
      </c>
      <c r="E22" s="16">
        <v>4</v>
      </c>
      <c r="F22" s="50">
        <v>11.26</v>
      </c>
      <c r="G22" s="7">
        <f t="shared" si="1"/>
        <v>18276.916719999997</v>
      </c>
      <c r="H22" s="16">
        <v>318</v>
      </c>
      <c r="I22" s="50">
        <v>398.86</v>
      </c>
      <c r="J22" s="7">
        <f t="shared" si="2"/>
        <v>647418.38391999993</v>
      </c>
      <c r="K22" s="16">
        <v>1292</v>
      </c>
      <c r="L22" s="50">
        <v>1775.96</v>
      </c>
      <c r="M22" s="7">
        <f t="shared" si="3"/>
        <v>2882688.5451199999</v>
      </c>
      <c r="N22" s="7">
        <f t="shared" si="4"/>
        <v>6772</v>
      </c>
      <c r="O22" s="26">
        <f t="shared" si="5"/>
        <v>17649219.875879999</v>
      </c>
    </row>
    <row r="23" spans="1:15" ht="12" customHeight="1" x14ac:dyDescent="0.2">
      <c r="A23" s="10" t="s">
        <v>22</v>
      </c>
      <c r="B23" s="8">
        <f>11+3049+3+12</f>
        <v>3075</v>
      </c>
      <c r="C23" s="8">
        <f>13.23+4157.59+5.17+33.88</f>
        <v>4209.87</v>
      </c>
      <c r="D23" s="7">
        <f t="shared" si="0"/>
        <v>6833343.1076399991</v>
      </c>
      <c r="E23" s="8">
        <v>4</v>
      </c>
      <c r="F23" s="51">
        <v>3.61</v>
      </c>
      <c r="G23" s="7">
        <f t="shared" si="1"/>
        <v>5859.65092</v>
      </c>
      <c r="H23" s="8">
        <v>519</v>
      </c>
      <c r="I23" s="51">
        <v>517.84</v>
      </c>
      <c r="J23" s="7">
        <f t="shared" si="2"/>
        <v>840543.38847999997</v>
      </c>
      <c r="K23" s="8">
        <v>1364</v>
      </c>
      <c r="L23" s="51">
        <v>1294.53</v>
      </c>
      <c r="M23" s="7">
        <f t="shared" si="3"/>
        <v>2101244.8491599998</v>
      </c>
      <c r="N23" s="7">
        <f t="shared" si="4"/>
        <v>4962</v>
      </c>
      <c r="O23" s="26">
        <f t="shared" si="5"/>
        <v>9780990.996199999</v>
      </c>
    </row>
    <row r="24" spans="1:15" ht="16.5" customHeight="1" x14ac:dyDescent="0.2">
      <c r="A24" s="10" t="s">
        <v>23</v>
      </c>
      <c r="B24" s="8">
        <f>25+6456+3+21</f>
        <v>6505</v>
      </c>
      <c r="C24" s="8">
        <f>42.19+10778.06+3.03+36.6</f>
        <v>10859.880000000001</v>
      </c>
      <c r="D24" s="7">
        <f t="shared" si="0"/>
        <v>17627453.139359999</v>
      </c>
      <c r="E24" s="8">
        <v>12</v>
      </c>
      <c r="F24" s="51">
        <v>9.36</v>
      </c>
      <c r="G24" s="7">
        <f t="shared" si="1"/>
        <v>15192.889919999998</v>
      </c>
      <c r="H24" s="8">
        <v>375</v>
      </c>
      <c r="I24" s="51">
        <v>392.79</v>
      </c>
      <c r="J24" s="7">
        <f t="shared" si="2"/>
        <v>637565.72988</v>
      </c>
      <c r="K24" s="8">
        <v>1673</v>
      </c>
      <c r="L24" s="51">
        <v>1439.19</v>
      </c>
      <c r="M24" s="7">
        <f t="shared" si="3"/>
        <v>2336052.9106799997</v>
      </c>
      <c r="N24" s="7">
        <f t="shared" si="4"/>
        <v>8565</v>
      </c>
      <c r="O24" s="26">
        <f t="shared" si="5"/>
        <v>20616264.669840001</v>
      </c>
    </row>
    <row r="25" spans="1:15" ht="44.25" customHeight="1" x14ac:dyDescent="0.2">
      <c r="A25" s="10" t="s">
        <v>24</v>
      </c>
      <c r="B25" s="16">
        <f>54+223+1</f>
        <v>278</v>
      </c>
      <c r="C25" s="16">
        <f>25.15+169.22+0.74</f>
        <v>195.11</v>
      </c>
      <c r="D25" s="7">
        <f t="shared" si="0"/>
        <v>316697.08892000001</v>
      </c>
      <c r="E25" s="16">
        <v>3</v>
      </c>
      <c r="F25" s="50">
        <v>1.83</v>
      </c>
      <c r="G25" s="7">
        <f t="shared" si="1"/>
        <v>2970.4047600000004</v>
      </c>
      <c r="H25" s="16">
        <v>26527</v>
      </c>
      <c r="I25" s="50">
        <v>13521.65</v>
      </c>
      <c r="J25" s="7">
        <f t="shared" si="2"/>
        <v>21947963.673799999</v>
      </c>
      <c r="K25" s="16">
        <v>361</v>
      </c>
      <c r="L25" s="50">
        <v>175.62</v>
      </c>
      <c r="M25" s="7">
        <f t="shared" si="3"/>
        <v>285061.46664</v>
      </c>
      <c r="N25" s="7">
        <f t="shared" si="4"/>
        <v>27169</v>
      </c>
      <c r="O25" s="26">
        <f t="shared" si="5"/>
        <v>22552692.634119999</v>
      </c>
    </row>
    <row r="26" spans="1:15" ht="12" customHeight="1" x14ac:dyDescent="0.2">
      <c r="A26" s="10" t="s">
        <v>25</v>
      </c>
      <c r="B26" s="8">
        <f>6+266+1+4</f>
        <v>277</v>
      </c>
      <c r="C26" s="8">
        <f>14.79+824.88+2.38+9.94</f>
        <v>851.99</v>
      </c>
      <c r="D26" s="7">
        <f t="shared" si="0"/>
        <v>1382926.31228</v>
      </c>
      <c r="E26" s="8">
        <v>49</v>
      </c>
      <c r="F26" s="51">
        <v>142.41</v>
      </c>
      <c r="G26" s="7">
        <f t="shared" si="1"/>
        <v>231155.92451999997</v>
      </c>
      <c r="H26" s="8">
        <v>63</v>
      </c>
      <c r="I26" s="51">
        <v>135.57</v>
      </c>
      <c r="J26" s="7">
        <f t="shared" si="2"/>
        <v>220053.42804</v>
      </c>
      <c r="K26" s="8">
        <v>78</v>
      </c>
      <c r="L26" s="51">
        <v>198.85</v>
      </c>
      <c r="M26" s="7">
        <f t="shared" si="3"/>
        <v>322767.75219999999</v>
      </c>
      <c r="N26" s="7">
        <f t="shared" si="4"/>
        <v>467</v>
      </c>
      <c r="O26" s="26">
        <f t="shared" si="5"/>
        <v>2156903.4170399997</v>
      </c>
    </row>
    <row r="27" spans="1:15" ht="12" customHeight="1" thickBot="1" x14ac:dyDescent="0.25">
      <c r="A27" s="11" t="s">
        <v>26</v>
      </c>
      <c r="B27" s="12">
        <v>28</v>
      </c>
      <c r="C27" s="12">
        <v>19.21</v>
      </c>
      <c r="D27" s="7">
        <f t="shared" si="0"/>
        <v>31181.134119999999</v>
      </c>
      <c r="E27" s="12">
        <v>1</v>
      </c>
      <c r="F27" s="52">
        <v>0.28000000000000003</v>
      </c>
      <c r="G27" s="7">
        <f t="shared" si="1"/>
        <v>454.48816000000005</v>
      </c>
      <c r="H27" s="12">
        <v>145</v>
      </c>
      <c r="I27" s="52">
        <v>36.04</v>
      </c>
      <c r="J27" s="7">
        <f t="shared" si="2"/>
        <v>58499.118879999995</v>
      </c>
      <c r="K27" s="12">
        <v>192</v>
      </c>
      <c r="L27" s="52">
        <v>64.44</v>
      </c>
      <c r="M27" s="7">
        <f t="shared" si="3"/>
        <v>104597.20367999998</v>
      </c>
      <c r="N27" s="33">
        <f t="shared" si="4"/>
        <v>366</v>
      </c>
      <c r="O27" s="47">
        <f t="shared" si="5"/>
        <v>194731.94483999995</v>
      </c>
    </row>
    <row r="28" spans="1:15" ht="12" customHeight="1" thickBot="1" x14ac:dyDescent="0.25">
      <c r="A28" s="14" t="s">
        <v>27</v>
      </c>
      <c r="B28" s="25">
        <f>SUM(B6:B27)</f>
        <v>217022</v>
      </c>
      <c r="C28" s="46">
        <f>SUM(C6:C27)</f>
        <v>407882.11</v>
      </c>
      <c r="D28" s="48">
        <f>SUM(D6:D27)</f>
        <v>662062820.25291979</v>
      </c>
      <c r="E28" s="25">
        <f t="shared" ref="E28:L28" si="6">SUM(E6:E27)</f>
        <v>979</v>
      </c>
      <c r="F28" s="46">
        <f t="shared" si="6"/>
        <v>1608.8999999999999</v>
      </c>
      <c r="G28" s="25">
        <f t="shared" si="6"/>
        <v>2611521.4307999997</v>
      </c>
      <c r="H28" s="25">
        <f t="shared" si="6"/>
        <v>47341</v>
      </c>
      <c r="I28" s="46">
        <f t="shared" si="6"/>
        <v>39840.68</v>
      </c>
      <c r="J28" s="25">
        <f t="shared" si="6"/>
        <v>64668276.236959994</v>
      </c>
      <c r="K28" s="25">
        <f t="shared" si="6"/>
        <v>73083</v>
      </c>
      <c r="L28" s="46">
        <f t="shared" si="6"/>
        <v>74397.490000000005</v>
      </c>
      <c r="M28" s="48">
        <f>SUM(M6:M27)</f>
        <v>120759922.63827996</v>
      </c>
      <c r="N28" s="25">
        <f>SUM(N6:N27)</f>
        <v>338425</v>
      </c>
      <c r="O28" s="27">
        <f>SUM(O6:O27)</f>
        <v>850102540.55895984</v>
      </c>
    </row>
    <row r="29" spans="1:15" x14ac:dyDescent="0.2">
      <c r="A29" s="91" t="s">
        <v>30</v>
      </c>
      <c r="B29" s="91"/>
      <c r="C29" s="91"/>
      <c r="D29" s="91"/>
      <c r="E29" s="91"/>
      <c r="F29" s="91"/>
      <c r="G29" s="91"/>
      <c r="H29" s="91"/>
      <c r="I29" s="91"/>
      <c r="J29" s="91"/>
      <c r="K29" s="91"/>
      <c r="L29" s="91"/>
      <c r="M29" s="91"/>
      <c r="N29" s="91"/>
      <c r="O29" s="91"/>
    </row>
    <row r="30" spans="1:15" x14ac:dyDescent="0.2">
      <c r="A30" s="92" t="s">
        <v>31</v>
      </c>
      <c r="B30" s="92"/>
      <c r="C30" s="92"/>
      <c r="D30" s="92"/>
      <c r="E30" s="92"/>
      <c r="F30" s="92"/>
      <c r="G30" s="92"/>
      <c r="H30" s="92"/>
      <c r="I30" s="92"/>
      <c r="J30" s="92"/>
      <c r="K30" s="92"/>
      <c r="L30" s="92"/>
      <c r="M30" s="92"/>
      <c r="N30" s="92"/>
      <c r="O30" s="92"/>
    </row>
    <row r="31" spans="1:15" ht="13.5" x14ac:dyDescent="0.2">
      <c r="A31" s="23" t="s">
        <v>61</v>
      </c>
    </row>
    <row r="32" spans="1:15" ht="13.5" x14ac:dyDescent="0.2">
      <c r="A32" s="23" t="s">
        <v>38</v>
      </c>
    </row>
    <row r="33" spans="1:15" x14ac:dyDescent="0.2">
      <c r="A33" s="15" t="s">
        <v>58</v>
      </c>
      <c r="K33" s="1"/>
      <c r="L33" s="1"/>
      <c r="M33" s="24" t="s">
        <v>33</v>
      </c>
      <c r="N33" s="1"/>
      <c r="O33" s="1"/>
    </row>
    <row r="34" spans="1:15" x14ac:dyDescent="0.2">
      <c r="A34" s="22">
        <v>42514</v>
      </c>
      <c r="K34" s="1"/>
      <c r="L34" s="1"/>
      <c r="M34" s="24" t="s">
        <v>34</v>
      </c>
      <c r="N34" s="1"/>
      <c r="O34" s="1"/>
    </row>
  </sheetData>
  <mergeCells count="11">
    <mergeCell ref="A29:O29"/>
    <mergeCell ref="A30:O30"/>
    <mergeCell ref="A1:O1"/>
    <mergeCell ref="B2:O2"/>
    <mergeCell ref="A3:A5"/>
    <mergeCell ref="B3:O3"/>
    <mergeCell ref="B4:D4"/>
    <mergeCell ref="E4:G4"/>
    <mergeCell ref="H4:J4"/>
    <mergeCell ref="K4:M4"/>
    <mergeCell ref="N4:O4"/>
  </mergeCells>
  <pageMargins left="0.7" right="0.7" top="0.75" bottom="0.75" header="0.3" footer="0.3"/>
  <pageSetup scale="66" orientation="landscape" r:id="rId1"/>
  <colBreaks count="1" manualBreakCount="1">
    <brk id="1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opLeftCell="A18" workbookViewId="0">
      <selection activeCell="A28" sqref="A28"/>
    </sheetView>
  </sheetViews>
  <sheetFormatPr defaultRowHeight="12.75" x14ac:dyDescent="0.2"/>
  <cols>
    <col min="1" max="1" width="41.7109375" customWidth="1"/>
    <col min="3" max="3" width="14.42578125" customWidth="1"/>
    <col min="4" max="4" width="12" customWidth="1"/>
    <col min="6" max="6" width="10" customWidth="1"/>
    <col min="7" max="7" width="11.140625" customWidth="1"/>
    <col min="9" max="9" width="10.7109375" customWidth="1"/>
    <col min="10" max="10" width="10.42578125" customWidth="1"/>
    <col min="12" max="12" width="10.140625" customWidth="1"/>
    <col min="13" max="13" width="11.7109375" customWidth="1"/>
    <col min="15" max="15" width="9.5703125" bestFit="1" customWidth="1"/>
  </cols>
  <sheetData>
    <row r="1" spans="1:15" ht="29.25" customHeight="1" thickBot="1" x14ac:dyDescent="0.25">
      <c r="A1" s="111" t="s">
        <v>54</v>
      </c>
      <c r="B1" s="111"/>
      <c r="C1" s="111"/>
      <c r="D1" s="111"/>
      <c r="E1" s="111"/>
      <c r="F1" s="111"/>
      <c r="G1" s="111"/>
      <c r="H1" s="111"/>
      <c r="I1" s="111"/>
      <c r="J1" s="111"/>
      <c r="K1" s="111"/>
      <c r="L1" s="111"/>
      <c r="M1" s="111"/>
      <c r="N1" s="111"/>
      <c r="O1" s="111"/>
    </row>
    <row r="2" spans="1:15" x14ac:dyDescent="0.2">
      <c r="A2" s="2" t="s">
        <v>4</v>
      </c>
      <c r="B2" s="120">
        <v>2014</v>
      </c>
      <c r="C2" s="121"/>
      <c r="D2" s="121"/>
      <c r="E2" s="121"/>
      <c r="F2" s="121"/>
      <c r="G2" s="121"/>
      <c r="H2" s="121"/>
      <c r="I2" s="121"/>
      <c r="J2" s="121"/>
      <c r="K2" s="121"/>
      <c r="L2" s="121"/>
      <c r="M2" s="121"/>
      <c r="N2" s="121"/>
      <c r="O2" s="122"/>
    </row>
    <row r="3" spans="1:15" ht="12" customHeight="1" x14ac:dyDescent="0.2">
      <c r="A3" s="123" t="s">
        <v>40</v>
      </c>
      <c r="B3" s="100" t="s">
        <v>1</v>
      </c>
      <c r="C3" s="101"/>
      <c r="D3" s="101"/>
      <c r="E3" s="101"/>
      <c r="F3" s="101"/>
      <c r="G3" s="101"/>
      <c r="H3" s="101"/>
      <c r="I3" s="101"/>
      <c r="J3" s="101"/>
      <c r="K3" s="101"/>
      <c r="L3" s="101"/>
      <c r="M3" s="101"/>
      <c r="N3" s="101"/>
      <c r="O3" s="102"/>
    </row>
    <row r="4" spans="1:15" ht="12" customHeight="1" x14ac:dyDescent="0.2">
      <c r="A4" s="124"/>
      <c r="B4" s="125" t="s">
        <v>0</v>
      </c>
      <c r="C4" s="125"/>
      <c r="D4" s="126"/>
      <c r="E4" s="126" t="s">
        <v>3</v>
      </c>
      <c r="F4" s="126"/>
      <c r="G4" s="126"/>
      <c r="H4" s="126" t="s">
        <v>28</v>
      </c>
      <c r="I4" s="126"/>
      <c r="J4" s="126"/>
      <c r="K4" s="126" t="s">
        <v>29</v>
      </c>
      <c r="L4" s="126"/>
      <c r="M4" s="126"/>
      <c r="N4" s="126" t="s">
        <v>39</v>
      </c>
      <c r="O4" s="127"/>
    </row>
    <row r="5" spans="1:15" ht="34.5" customHeight="1" x14ac:dyDescent="0.2">
      <c r="A5" s="124"/>
      <c r="B5" s="3" t="s">
        <v>2</v>
      </c>
      <c r="C5" s="3" t="s">
        <v>44</v>
      </c>
      <c r="D5" s="4" t="s">
        <v>32</v>
      </c>
      <c r="E5" s="4" t="s">
        <v>2</v>
      </c>
      <c r="F5" s="3" t="s">
        <v>44</v>
      </c>
      <c r="G5" s="4" t="s">
        <v>32</v>
      </c>
      <c r="H5" s="4" t="s">
        <v>2</v>
      </c>
      <c r="I5" s="3" t="s">
        <v>44</v>
      </c>
      <c r="J5" s="4" t="s">
        <v>32</v>
      </c>
      <c r="K5" s="4" t="s">
        <v>2</v>
      </c>
      <c r="L5" s="3" t="s">
        <v>44</v>
      </c>
      <c r="M5" s="4" t="s">
        <v>32</v>
      </c>
      <c r="N5" s="4" t="s">
        <v>2</v>
      </c>
      <c r="O5" s="5" t="s">
        <v>32</v>
      </c>
    </row>
    <row r="6" spans="1:15" ht="12" customHeight="1" x14ac:dyDescent="0.2">
      <c r="A6" s="6" t="s">
        <v>5</v>
      </c>
      <c r="B6" s="7">
        <f>25+2130+4</f>
        <v>2159</v>
      </c>
      <c r="C6" s="7">
        <f>16.44+3090.56+2.99</f>
        <v>3109.99</v>
      </c>
      <c r="D6" s="7">
        <f>C6*9068*0.202</f>
        <v>5696680.6426399993</v>
      </c>
      <c r="E6" s="7">
        <v>5</v>
      </c>
      <c r="F6" s="50">
        <v>5.94</v>
      </c>
      <c r="G6" s="7">
        <f>F6*9068*0.202</f>
        <v>10880.511840000001</v>
      </c>
      <c r="H6" s="7">
        <v>4558</v>
      </c>
      <c r="I6" s="50">
        <v>1945.53</v>
      </c>
      <c r="J6" s="7">
        <f>I6*9068*0.202</f>
        <v>3563697.34008</v>
      </c>
      <c r="K6" s="7">
        <v>1346</v>
      </c>
      <c r="L6" s="50">
        <v>889.06</v>
      </c>
      <c r="M6" s="7">
        <f>L6*9068*0.202</f>
        <v>1628523.2081599999</v>
      </c>
      <c r="N6" s="7">
        <f>B6+E6+H6+K6</f>
        <v>8068</v>
      </c>
      <c r="O6" s="26">
        <f>D6+G6+J6+M6</f>
        <v>10899781.702719999</v>
      </c>
    </row>
    <row r="7" spans="1:15" ht="12" customHeight="1" x14ac:dyDescent="0.2">
      <c r="A7" s="6" t="s">
        <v>6</v>
      </c>
      <c r="B7" s="7">
        <f>1+532+3</f>
        <v>536</v>
      </c>
      <c r="C7" s="7">
        <f>0.68+1325.13+12.19</f>
        <v>1338.0000000000002</v>
      </c>
      <c r="D7" s="7">
        <f>C7*9068*0.202</f>
        <v>2450862.7680000006</v>
      </c>
      <c r="E7" s="7">
        <v>3</v>
      </c>
      <c r="F7" s="50">
        <v>4.8899999999999997</v>
      </c>
      <c r="G7" s="7">
        <f t="shared" ref="G7:G28" si="0">F7*9068*0.202</f>
        <v>8957.1890399999993</v>
      </c>
      <c r="H7" s="7">
        <v>58</v>
      </c>
      <c r="I7" s="50">
        <v>65.930000000000007</v>
      </c>
      <c r="J7" s="7">
        <f t="shared" ref="J7:J28" si="1">I7*9068*0.202</f>
        <v>120766.35448000002</v>
      </c>
      <c r="K7" s="7">
        <v>127</v>
      </c>
      <c r="L7" s="50">
        <v>217.32</v>
      </c>
      <c r="M7" s="7">
        <f t="shared" ref="M7:M28" si="2">L7*9068*0.202</f>
        <v>398072.86752000003</v>
      </c>
      <c r="N7" s="7">
        <f>B7+E7+H7+K7</f>
        <v>724</v>
      </c>
      <c r="O7" s="26">
        <f>D7+G7+J7+M7</f>
        <v>2978659.1790400008</v>
      </c>
    </row>
    <row r="8" spans="1:15" ht="12" customHeight="1" x14ac:dyDescent="0.2">
      <c r="A8" s="6" t="s">
        <v>7</v>
      </c>
      <c r="B8" s="7">
        <f>94+20245+8+47</f>
        <v>20394</v>
      </c>
      <c r="C8" s="7">
        <f>155.46+34793.11+19.75+113.85</f>
        <v>35082.17</v>
      </c>
      <c r="D8" s="7">
        <f>C8*9068*0.202</f>
        <v>64261273.747120008</v>
      </c>
      <c r="E8" s="7">
        <v>64</v>
      </c>
      <c r="F8" s="50">
        <v>88.65</v>
      </c>
      <c r="G8" s="7">
        <f t="shared" si="0"/>
        <v>162383.39640000003</v>
      </c>
      <c r="H8" s="7">
        <v>1196</v>
      </c>
      <c r="I8" s="50">
        <v>1329.69</v>
      </c>
      <c r="J8" s="7">
        <f t="shared" si="1"/>
        <v>2435641.0418400001</v>
      </c>
      <c r="K8" s="7">
        <v>6603</v>
      </c>
      <c r="L8" s="50">
        <v>7111.61</v>
      </c>
      <c r="M8" s="7">
        <f t="shared" si="2"/>
        <v>13026592.054959999</v>
      </c>
      <c r="N8" s="7">
        <f t="shared" ref="N8:N27" si="3">B8+E8+H8+K8</f>
        <v>28257</v>
      </c>
      <c r="O8" s="26">
        <f t="shared" ref="O8:O27" si="4">D8+G8+J8+M8</f>
        <v>79885890.240320012</v>
      </c>
    </row>
    <row r="9" spans="1:15" ht="21.75" customHeight="1" x14ac:dyDescent="0.2">
      <c r="A9" s="6" t="s">
        <v>8</v>
      </c>
      <c r="B9" s="7">
        <f>5+2286+6</f>
        <v>2297</v>
      </c>
      <c r="C9" s="7">
        <f>14.3+7428.76+28.15</f>
        <v>7471.21</v>
      </c>
      <c r="D9" s="7">
        <f>C9*9068*0.202</f>
        <v>13685284.320560001</v>
      </c>
      <c r="E9" s="7">
        <v>0</v>
      </c>
      <c r="F9" s="50">
        <v>0</v>
      </c>
      <c r="G9" s="7">
        <f t="shared" si="0"/>
        <v>0</v>
      </c>
      <c r="H9" s="7">
        <v>10</v>
      </c>
      <c r="I9" s="50">
        <v>15.64</v>
      </c>
      <c r="J9" s="7">
        <f t="shared" si="1"/>
        <v>28648.351040000005</v>
      </c>
      <c r="K9" s="7">
        <v>31</v>
      </c>
      <c r="L9" s="50">
        <v>61.76</v>
      </c>
      <c r="M9" s="7">
        <f t="shared" si="2"/>
        <v>113128.01535999999</v>
      </c>
      <c r="N9" s="7">
        <f t="shared" si="3"/>
        <v>2338</v>
      </c>
      <c r="O9" s="26">
        <f t="shared" si="4"/>
        <v>13827060.686960001</v>
      </c>
    </row>
    <row r="10" spans="1:15" ht="22.5" customHeight="1" x14ac:dyDescent="0.2">
      <c r="A10" s="6" t="s">
        <v>9</v>
      </c>
      <c r="B10" s="7">
        <f>1+1225+2</f>
        <v>1228</v>
      </c>
      <c r="C10" s="7">
        <f>1.77+2581.07+2.9</f>
        <v>2585.7400000000002</v>
      </c>
      <c r="D10" s="7">
        <f t="shared" ref="D10:D28" si="5">C10*9068*0.202</f>
        <v>4736393.04464</v>
      </c>
      <c r="E10" s="7">
        <v>2</v>
      </c>
      <c r="F10" s="50">
        <v>1.51</v>
      </c>
      <c r="G10" s="7">
        <f t="shared" si="0"/>
        <v>2765.9213600000003</v>
      </c>
      <c r="H10" s="7">
        <v>73</v>
      </c>
      <c r="I10" s="50">
        <v>77.91</v>
      </c>
      <c r="J10" s="7">
        <f t="shared" si="1"/>
        <v>142710.55176</v>
      </c>
      <c r="K10" s="7">
        <v>385</v>
      </c>
      <c r="L10" s="50">
        <v>470.44</v>
      </c>
      <c r="M10" s="7">
        <f t="shared" si="2"/>
        <v>861721.88384000002</v>
      </c>
      <c r="N10" s="7">
        <f t="shared" si="3"/>
        <v>1688</v>
      </c>
      <c r="O10" s="26">
        <f t="shared" si="4"/>
        <v>5743591.4016000004</v>
      </c>
    </row>
    <row r="11" spans="1:15" ht="12" customHeight="1" x14ac:dyDescent="0.2">
      <c r="A11" s="6" t="s">
        <v>10</v>
      </c>
      <c r="B11" s="7">
        <f>49+14828+3+58</f>
        <v>14938</v>
      </c>
      <c r="C11" s="7">
        <f>73.53+24220.79+6.13+121.33</f>
        <v>24421.780000000002</v>
      </c>
      <c r="D11" s="7">
        <f t="shared" si="5"/>
        <v>44734253.610080004</v>
      </c>
      <c r="E11" s="7">
        <v>204</v>
      </c>
      <c r="F11" s="50">
        <v>393.39</v>
      </c>
      <c r="G11" s="7">
        <f t="shared" si="0"/>
        <v>720586.62504000007</v>
      </c>
      <c r="H11" s="7">
        <v>1228</v>
      </c>
      <c r="I11" s="50">
        <v>1002.16</v>
      </c>
      <c r="J11" s="7">
        <f t="shared" si="1"/>
        <v>1835692.5497599998</v>
      </c>
      <c r="K11" s="7">
        <v>6215</v>
      </c>
      <c r="L11" s="50">
        <v>5486.2</v>
      </c>
      <c r="M11" s="7">
        <f t="shared" si="2"/>
        <v>10049270.043200001</v>
      </c>
      <c r="N11" s="7">
        <f t="shared" si="3"/>
        <v>22585</v>
      </c>
      <c r="O11" s="26">
        <f t="shared" si="4"/>
        <v>57339802.828080006</v>
      </c>
    </row>
    <row r="12" spans="1:15" ht="21" customHeight="1" x14ac:dyDescent="0.2">
      <c r="A12" s="6" t="s">
        <v>11</v>
      </c>
      <c r="B12" s="7">
        <f>208+48642+18+134</f>
        <v>49002</v>
      </c>
      <c r="C12" s="7">
        <f>349.4+73158.28+33.8+275.53</f>
        <v>73817.009999999995</v>
      </c>
      <c r="D12" s="7">
        <f t="shared" si="5"/>
        <v>135213274.62935999</v>
      </c>
      <c r="E12" s="7">
        <v>114</v>
      </c>
      <c r="F12" s="50">
        <v>152.54</v>
      </c>
      <c r="G12" s="7">
        <f t="shared" si="0"/>
        <v>279413.00943999999</v>
      </c>
      <c r="H12" s="7">
        <v>3107</v>
      </c>
      <c r="I12" s="50">
        <v>4140.3500000000004</v>
      </c>
      <c r="J12" s="7">
        <f t="shared" si="1"/>
        <v>7584028.1476000017</v>
      </c>
      <c r="K12" s="7">
        <v>11728</v>
      </c>
      <c r="L12" s="50">
        <v>13022.36</v>
      </c>
      <c r="M12" s="7">
        <f t="shared" si="2"/>
        <v>23853525.616960004</v>
      </c>
      <c r="N12" s="7">
        <f t="shared" si="3"/>
        <v>63951</v>
      </c>
      <c r="O12" s="26">
        <f t="shared" si="4"/>
        <v>166930241.40336001</v>
      </c>
    </row>
    <row r="13" spans="1:15" ht="12" customHeight="1" x14ac:dyDescent="0.2">
      <c r="A13" s="6" t="s">
        <v>12</v>
      </c>
      <c r="B13" s="7">
        <f>41+10376+2+35</f>
        <v>10454</v>
      </c>
      <c r="C13" s="7">
        <f>84.22+22689.49+4.29+110.3</f>
        <v>22888.300000000003</v>
      </c>
      <c r="D13" s="7">
        <f t="shared" si="5"/>
        <v>41925323.088800013</v>
      </c>
      <c r="E13" s="7">
        <v>23</v>
      </c>
      <c r="F13" s="50">
        <v>32.11</v>
      </c>
      <c r="G13" s="7">
        <f t="shared" si="0"/>
        <v>58817.042959999999</v>
      </c>
      <c r="H13" s="7">
        <v>902</v>
      </c>
      <c r="I13" s="50">
        <v>2288.44</v>
      </c>
      <c r="J13" s="7">
        <f t="shared" si="1"/>
        <v>4191817.9318400007</v>
      </c>
      <c r="K13" s="7">
        <v>6193</v>
      </c>
      <c r="L13" s="50">
        <v>6928.19</v>
      </c>
      <c r="M13" s="7">
        <f t="shared" si="2"/>
        <v>12690615.037839999</v>
      </c>
      <c r="N13" s="7">
        <f t="shared" si="3"/>
        <v>17572</v>
      </c>
      <c r="O13" s="26">
        <f t="shared" si="4"/>
        <v>58866573.10144002</v>
      </c>
    </row>
    <row r="14" spans="1:15" ht="20.25" customHeight="1" x14ac:dyDescent="0.2">
      <c r="A14" s="6" t="s">
        <v>13</v>
      </c>
      <c r="B14" s="7">
        <f>120+26598+6+31</f>
        <v>26755</v>
      </c>
      <c r="C14" s="7">
        <f>93.81+30581.48+4.25+48.91</f>
        <v>30728.45</v>
      </c>
      <c r="D14" s="7">
        <f t="shared" si="5"/>
        <v>56286408.089200005</v>
      </c>
      <c r="E14" s="7">
        <v>127</v>
      </c>
      <c r="F14" s="50">
        <v>239.02</v>
      </c>
      <c r="G14" s="7">
        <f t="shared" si="0"/>
        <v>437821.53872000001</v>
      </c>
      <c r="H14" s="7">
        <v>3188</v>
      </c>
      <c r="I14" s="50">
        <v>2656.14</v>
      </c>
      <c r="J14" s="7">
        <f t="shared" si="1"/>
        <v>4865347.2590399999</v>
      </c>
      <c r="K14" s="7">
        <v>21914</v>
      </c>
      <c r="L14" s="50">
        <v>15594.34</v>
      </c>
      <c r="M14" s="7">
        <f t="shared" si="2"/>
        <v>28564713.974240001</v>
      </c>
      <c r="N14" s="7">
        <f t="shared" si="3"/>
        <v>51984</v>
      </c>
      <c r="O14" s="26">
        <f t="shared" si="4"/>
        <v>90154290.861200005</v>
      </c>
    </row>
    <row r="15" spans="1:15" ht="12" customHeight="1" x14ac:dyDescent="0.2">
      <c r="A15" s="6" t="s">
        <v>14</v>
      </c>
      <c r="B15" s="7">
        <f>38+8574+7+38</f>
        <v>8657</v>
      </c>
      <c r="C15" s="7">
        <f>97.79+22501.63+11.98+123.56</f>
        <v>22734.960000000003</v>
      </c>
      <c r="D15" s="7">
        <f t="shared" si="5"/>
        <v>41644444.690560006</v>
      </c>
      <c r="E15" s="7">
        <v>37</v>
      </c>
      <c r="F15" s="50">
        <v>106.58</v>
      </c>
      <c r="G15" s="7">
        <f t="shared" si="0"/>
        <v>195226.42288</v>
      </c>
      <c r="H15" s="7">
        <v>689</v>
      </c>
      <c r="I15" s="50">
        <v>1875.53</v>
      </c>
      <c r="J15" s="7">
        <f t="shared" si="1"/>
        <v>3435475.82008</v>
      </c>
      <c r="K15" s="7">
        <v>1103</v>
      </c>
      <c r="L15" s="50">
        <v>2422.9499999999998</v>
      </c>
      <c r="M15" s="7">
        <f t="shared" si="2"/>
        <v>4438204.7412</v>
      </c>
      <c r="N15" s="7">
        <f t="shared" si="3"/>
        <v>10486</v>
      </c>
      <c r="O15" s="26">
        <f t="shared" si="4"/>
        <v>49713351.674720004</v>
      </c>
    </row>
    <row r="16" spans="1:15" ht="12" customHeight="1" x14ac:dyDescent="0.2">
      <c r="A16" s="6" t="s">
        <v>15</v>
      </c>
      <c r="B16" s="7">
        <f>68+16491+6+61</f>
        <v>16626</v>
      </c>
      <c r="C16" s="7">
        <f>230.85+54987.43+25.38+225.3</f>
        <v>55468.959999999999</v>
      </c>
      <c r="D16" s="7">
        <f t="shared" si="5"/>
        <v>101604490.91456001</v>
      </c>
      <c r="E16" s="7">
        <v>12</v>
      </c>
      <c r="F16" s="50">
        <v>26.78</v>
      </c>
      <c r="G16" s="7">
        <f t="shared" si="0"/>
        <v>49053.890080000005</v>
      </c>
      <c r="H16" s="7">
        <v>1208</v>
      </c>
      <c r="I16" s="50">
        <v>3792.75</v>
      </c>
      <c r="J16" s="7">
        <f t="shared" si="1"/>
        <v>6947316.7140000006</v>
      </c>
      <c r="K16" s="7">
        <v>1328</v>
      </c>
      <c r="L16" s="50">
        <v>3206.61</v>
      </c>
      <c r="M16" s="7">
        <f t="shared" si="2"/>
        <v>5873662.9749600003</v>
      </c>
      <c r="N16" s="7">
        <f t="shared" si="3"/>
        <v>19174</v>
      </c>
      <c r="O16" s="26">
        <f t="shared" si="4"/>
        <v>114474524.49360001</v>
      </c>
    </row>
    <row r="17" spans="1:15" ht="12" customHeight="1" x14ac:dyDescent="0.2">
      <c r="A17" s="6" t="s">
        <v>16</v>
      </c>
      <c r="B17" s="7">
        <f>8+1841+1+6</f>
        <v>1856</v>
      </c>
      <c r="C17" s="7">
        <f>14.48+2612.33+2.36+11.75</f>
        <v>2640.92</v>
      </c>
      <c r="D17" s="7">
        <f t="shared" si="5"/>
        <v>4837468.2371200006</v>
      </c>
      <c r="E17" s="7">
        <v>2</v>
      </c>
      <c r="F17" s="50">
        <v>3.16</v>
      </c>
      <c r="G17" s="7">
        <f t="shared" si="0"/>
        <v>5788.2857600000007</v>
      </c>
      <c r="H17" s="7">
        <v>137</v>
      </c>
      <c r="I17" s="50">
        <v>163.29</v>
      </c>
      <c r="J17" s="7">
        <f t="shared" si="1"/>
        <v>299104.17144000001</v>
      </c>
      <c r="K17" s="7">
        <v>580</v>
      </c>
      <c r="L17" s="50">
        <v>676.33</v>
      </c>
      <c r="M17" s="7">
        <f t="shared" si="2"/>
        <v>1238858.0088800001</v>
      </c>
      <c r="N17" s="7">
        <f t="shared" si="3"/>
        <v>2575</v>
      </c>
      <c r="O17" s="26">
        <f t="shared" si="4"/>
        <v>6381218.7032000013</v>
      </c>
    </row>
    <row r="18" spans="1:15" ht="12" customHeight="1" x14ac:dyDescent="0.2">
      <c r="A18" s="6" t="s">
        <v>17</v>
      </c>
      <c r="B18" s="7">
        <f>104+18221+14+80</f>
        <v>18419</v>
      </c>
      <c r="C18" s="7">
        <f>238.22+39430.52+27.32+237.8</f>
        <v>39933.86</v>
      </c>
      <c r="D18" s="7">
        <f t="shared" si="5"/>
        <v>73148288.980960011</v>
      </c>
      <c r="E18" s="7">
        <v>21</v>
      </c>
      <c r="F18" s="50">
        <v>38.64</v>
      </c>
      <c r="G18" s="7">
        <f t="shared" si="0"/>
        <v>70778.279040000009</v>
      </c>
      <c r="H18" s="7">
        <v>1554</v>
      </c>
      <c r="I18" s="50">
        <v>4129.46</v>
      </c>
      <c r="J18" s="7">
        <f t="shared" si="1"/>
        <v>7564080.5425600009</v>
      </c>
      <c r="K18" s="7">
        <v>2908</v>
      </c>
      <c r="L18" s="50">
        <v>5048.3999999999996</v>
      </c>
      <c r="M18" s="7">
        <f t="shared" si="2"/>
        <v>9247336.0223999992</v>
      </c>
      <c r="N18" s="7">
        <f t="shared" si="3"/>
        <v>22902</v>
      </c>
      <c r="O18" s="26">
        <f t="shared" si="4"/>
        <v>90030483.824959993</v>
      </c>
    </row>
    <row r="19" spans="1:15" ht="12" customHeight="1" x14ac:dyDescent="0.2">
      <c r="A19" s="6" t="s">
        <v>18</v>
      </c>
      <c r="B19" s="7">
        <f>43+5094+6+18</f>
        <v>5161</v>
      </c>
      <c r="C19" s="7">
        <f>79.51+7801.48+15.47+27.3</f>
        <v>7923.76</v>
      </c>
      <c r="D19" s="7">
        <f t="shared" si="5"/>
        <v>14514236.447360002</v>
      </c>
      <c r="E19" s="7">
        <v>11</v>
      </c>
      <c r="F19" s="50">
        <v>18.07</v>
      </c>
      <c r="G19" s="7">
        <f t="shared" si="0"/>
        <v>33099.469520000006</v>
      </c>
      <c r="H19" s="7">
        <v>568</v>
      </c>
      <c r="I19" s="50">
        <v>741.43</v>
      </c>
      <c r="J19" s="7">
        <f t="shared" si="1"/>
        <v>1358104.02248</v>
      </c>
      <c r="K19" s="7">
        <v>3131</v>
      </c>
      <c r="L19" s="50">
        <v>3493.49</v>
      </c>
      <c r="M19" s="7">
        <f t="shared" si="2"/>
        <v>6399151.3986399993</v>
      </c>
      <c r="N19" s="7">
        <f t="shared" si="3"/>
        <v>8871</v>
      </c>
      <c r="O19" s="26">
        <f t="shared" si="4"/>
        <v>22304591.338</v>
      </c>
    </row>
    <row r="20" spans="1:15" ht="21.75" customHeight="1" x14ac:dyDescent="0.2">
      <c r="A20" s="6" t="s">
        <v>19</v>
      </c>
      <c r="B20" s="7">
        <f>13+11364+2+29</f>
        <v>11408</v>
      </c>
      <c r="C20" s="7">
        <f>15.06+18822.71+5.21+66.23</f>
        <v>18909.21</v>
      </c>
      <c r="D20" s="7">
        <f t="shared" si="5"/>
        <v>34636680.688560002</v>
      </c>
      <c r="E20" s="7">
        <v>52</v>
      </c>
      <c r="F20" s="50">
        <v>177.08</v>
      </c>
      <c r="G20" s="7">
        <f t="shared" si="0"/>
        <v>324363.81088000006</v>
      </c>
      <c r="H20" s="7">
        <v>42</v>
      </c>
      <c r="I20" s="50">
        <v>75.290000000000006</v>
      </c>
      <c r="J20" s="7">
        <f t="shared" si="1"/>
        <v>137911.40344000002</v>
      </c>
      <c r="K20" s="7">
        <v>205</v>
      </c>
      <c r="L20" s="50">
        <v>286.70999999999998</v>
      </c>
      <c r="M20" s="7">
        <f t="shared" si="2"/>
        <v>525177.02856000001</v>
      </c>
      <c r="N20" s="7">
        <f t="shared" si="3"/>
        <v>11707</v>
      </c>
      <c r="O20" s="26">
        <f t="shared" si="4"/>
        <v>35624132.931439996</v>
      </c>
    </row>
    <row r="21" spans="1:15" ht="12" customHeight="1" x14ac:dyDescent="0.2">
      <c r="A21" s="6" t="s">
        <v>20</v>
      </c>
      <c r="B21" s="8">
        <f>44+10510+5+23</f>
        <v>10582</v>
      </c>
      <c r="C21" s="8">
        <f>116.15+19009.39+17.03+74.65</f>
        <v>19217.22</v>
      </c>
      <c r="D21" s="7">
        <f t="shared" si="5"/>
        <v>35200873.693920001</v>
      </c>
      <c r="E21" s="8">
        <v>10</v>
      </c>
      <c r="F21" s="51">
        <v>21.04</v>
      </c>
      <c r="G21" s="7">
        <f t="shared" si="0"/>
        <v>38539.725440000002</v>
      </c>
      <c r="H21" s="8">
        <v>294</v>
      </c>
      <c r="I21" s="51">
        <v>583.74</v>
      </c>
      <c r="J21" s="7">
        <f t="shared" si="1"/>
        <v>1069257.5726400001</v>
      </c>
      <c r="K21" s="8">
        <v>1442</v>
      </c>
      <c r="L21" s="51">
        <v>2638.96</v>
      </c>
      <c r="M21" s="7">
        <f t="shared" si="2"/>
        <v>4833878.0345600005</v>
      </c>
      <c r="N21" s="7">
        <f t="shared" si="3"/>
        <v>12328</v>
      </c>
      <c r="O21" s="26">
        <f t="shared" si="4"/>
        <v>41142549.026560009</v>
      </c>
    </row>
    <row r="22" spans="1:15" ht="20.25" customHeight="1" x14ac:dyDescent="0.2">
      <c r="A22" s="6" t="s">
        <v>21</v>
      </c>
      <c r="B22" s="16">
        <f>17+5454+2+16</f>
        <v>5489</v>
      </c>
      <c r="C22" s="16">
        <f>27.07+8928.57+3.64+20.3</f>
        <v>8979.5799999999981</v>
      </c>
      <c r="D22" s="7">
        <f t="shared" si="5"/>
        <v>16448219.950879997</v>
      </c>
      <c r="E22" s="16">
        <v>3</v>
      </c>
      <c r="F22" s="50">
        <v>8.5500000000000007</v>
      </c>
      <c r="G22" s="7">
        <f t="shared" si="0"/>
        <v>15661.342800000002</v>
      </c>
      <c r="H22" s="16">
        <v>285</v>
      </c>
      <c r="I22" s="50">
        <v>374.05</v>
      </c>
      <c r="J22" s="7">
        <f t="shared" si="1"/>
        <v>685160.85080000001</v>
      </c>
      <c r="K22" s="16">
        <v>1254</v>
      </c>
      <c r="L22" s="50">
        <v>1759.54</v>
      </c>
      <c r="M22" s="7">
        <f t="shared" si="2"/>
        <v>3223012.76144</v>
      </c>
      <c r="N22" s="7">
        <f t="shared" si="3"/>
        <v>7031</v>
      </c>
      <c r="O22" s="26">
        <f t="shared" si="4"/>
        <v>20372054.905919999</v>
      </c>
    </row>
    <row r="23" spans="1:15" ht="12" customHeight="1" x14ac:dyDescent="0.2">
      <c r="A23" s="10" t="s">
        <v>22</v>
      </c>
      <c r="B23" s="8">
        <f>15+3463+3+13</f>
        <v>3494</v>
      </c>
      <c r="C23" s="8">
        <f>22.86+4332.27+6.14+40.36</f>
        <v>4401.63</v>
      </c>
      <c r="D23" s="7">
        <f t="shared" si="5"/>
        <v>8062624.1296800012</v>
      </c>
      <c r="E23" s="8">
        <v>3</v>
      </c>
      <c r="F23" s="51">
        <v>3.05</v>
      </c>
      <c r="G23" s="7">
        <f t="shared" si="0"/>
        <v>5586.7947999999997</v>
      </c>
      <c r="H23" s="8">
        <v>469</v>
      </c>
      <c r="I23" s="51">
        <v>462.56</v>
      </c>
      <c r="J23" s="7">
        <f t="shared" si="1"/>
        <v>847287.80416000006</v>
      </c>
      <c r="K23" s="8">
        <v>1352</v>
      </c>
      <c r="L23" s="51">
        <v>1335.22</v>
      </c>
      <c r="M23" s="7">
        <f t="shared" si="2"/>
        <v>2445770.5419200002</v>
      </c>
      <c r="N23" s="7">
        <f t="shared" si="3"/>
        <v>5318</v>
      </c>
      <c r="O23" s="26">
        <f t="shared" si="4"/>
        <v>11361269.270560002</v>
      </c>
    </row>
    <row r="24" spans="1:15" ht="16.5" customHeight="1" x14ac:dyDescent="0.2">
      <c r="A24" s="10" t="s">
        <v>23</v>
      </c>
      <c r="B24" s="8">
        <f>29+6565+2+21</f>
        <v>6617</v>
      </c>
      <c r="C24" s="8">
        <f>39.21+10469.52+3.36+34.35</f>
        <v>10546.44</v>
      </c>
      <c r="D24" s="7">
        <f t="shared" si="5"/>
        <v>19318293.819840003</v>
      </c>
      <c r="E24" s="8">
        <v>11</v>
      </c>
      <c r="F24" s="51">
        <v>8.7100000000000009</v>
      </c>
      <c r="G24" s="7">
        <f t="shared" si="0"/>
        <v>15954.420560000004</v>
      </c>
      <c r="H24" s="8">
        <v>383</v>
      </c>
      <c r="I24" s="51">
        <v>401.68</v>
      </c>
      <c r="J24" s="7">
        <f t="shared" si="1"/>
        <v>735771.71648000006</v>
      </c>
      <c r="K24" s="8">
        <v>1619</v>
      </c>
      <c r="L24" s="51">
        <v>1466.71</v>
      </c>
      <c r="M24" s="7">
        <f t="shared" si="2"/>
        <v>2686625.5085600005</v>
      </c>
      <c r="N24" s="7">
        <f t="shared" si="3"/>
        <v>8630</v>
      </c>
      <c r="O24" s="26">
        <f t="shared" si="4"/>
        <v>22756645.465440005</v>
      </c>
    </row>
    <row r="25" spans="1:15" ht="44.25" customHeight="1" x14ac:dyDescent="0.2">
      <c r="A25" s="10" t="s">
        <v>24</v>
      </c>
      <c r="B25" s="16">
        <f>63+218+1</f>
        <v>282</v>
      </c>
      <c r="C25" s="16">
        <f>28.29+158.27+0.74</f>
        <v>187.3</v>
      </c>
      <c r="D25" s="7">
        <f t="shared" si="5"/>
        <v>343084.15280000004</v>
      </c>
      <c r="E25" s="16">
        <v>4</v>
      </c>
      <c r="F25" s="50">
        <v>2.08</v>
      </c>
      <c r="G25" s="7">
        <f t="shared" si="0"/>
        <v>3810.0108800000007</v>
      </c>
      <c r="H25" s="16">
        <v>24537</v>
      </c>
      <c r="I25" s="50">
        <v>12008.8</v>
      </c>
      <c r="J25" s="7">
        <f t="shared" si="1"/>
        <v>21996951.276799999</v>
      </c>
      <c r="K25" s="16">
        <v>380</v>
      </c>
      <c r="L25" s="50">
        <v>179.58</v>
      </c>
      <c r="M25" s="7">
        <f t="shared" si="2"/>
        <v>328943.15088000003</v>
      </c>
      <c r="N25" s="7">
        <f t="shared" si="3"/>
        <v>25203</v>
      </c>
      <c r="O25" s="26">
        <f t="shared" si="4"/>
        <v>22672788.591359999</v>
      </c>
    </row>
    <row r="26" spans="1:15" ht="12" customHeight="1" x14ac:dyDescent="0.2">
      <c r="A26" s="10" t="s">
        <v>25</v>
      </c>
      <c r="B26" s="8">
        <f>5+277+1+4</f>
        <v>287</v>
      </c>
      <c r="C26" s="8">
        <f>12.89+851.97+2.43+10.46</f>
        <v>877.75</v>
      </c>
      <c r="D26" s="7">
        <f t="shared" si="5"/>
        <v>1607806.2740000002</v>
      </c>
      <c r="E26" s="8">
        <v>45</v>
      </c>
      <c r="F26" s="51">
        <v>126.55</v>
      </c>
      <c r="G26" s="7">
        <f t="shared" si="0"/>
        <v>231806.19079999998</v>
      </c>
      <c r="H26" s="8">
        <v>67</v>
      </c>
      <c r="I26" s="51">
        <v>180.68</v>
      </c>
      <c r="J26" s="7">
        <f t="shared" si="1"/>
        <v>330958.06048000004</v>
      </c>
      <c r="K26" s="8">
        <v>77</v>
      </c>
      <c r="L26" s="51">
        <v>217.08</v>
      </c>
      <c r="M26" s="7">
        <f t="shared" si="2"/>
        <v>397633.25088000007</v>
      </c>
      <c r="N26" s="7">
        <f t="shared" si="3"/>
        <v>476</v>
      </c>
      <c r="O26" s="26">
        <f t="shared" si="4"/>
        <v>2568203.7761600004</v>
      </c>
    </row>
    <row r="27" spans="1:15" ht="12" customHeight="1" thickBot="1" x14ac:dyDescent="0.25">
      <c r="A27" s="11" t="s">
        <v>26</v>
      </c>
      <c r="B27" s="12">
        <f>1+30</f>
        <v>31</v>
      </c>
      <c r="C27" s="12">
        <f>0.3+18.87</f>
        <v>19.170000000000002</v>
      </c>
      <c r="D27" s="33">
        <f t="shared" si="5"/>
        <v>35114.379120000005</v>
      </c>
      <c r="E27" s="12">
        <v>0</v>
      </c>
      <c r="F27" s="52">
        <v>0</v>
      </c>
      <c r="G27" s="33">
        <f t="shared" si="0"/>
        <v>0</v>
      </c>
      <c r="H27" s="12">
        <v>181</v>
      </c>
      <c r="I27" s="52">
        <v>51.61</v>
      </c>
      <c r="J27" s="33">
        <f t="shared" si="1"/>
        <v>94535.894960000005</v>
      </c>
      <c r="K27" s="12">
        <v>186</v>
      </c>
      <c r="L27" s="52">
        <v>66.319999999999993</v>
      </c>
      <c r="M27" s="33">
        <f t="shared" si="2"/>
        <v>121480.73151999999</v>
      </c>
      <c r="N27" s="33">
        <f t="shared" si="3"/>
        <v>398</v>
      </c>
      <c r="O27" s="47">
        <f t="shared" si="4"/>
        <v>251131.00559999997</v>
      </c>
    </row>
    <row r="28" spans="1:15" ht="12" customHeight="1" thickBot="1" x14ac:dyDescent="0.25">
      <c r="A28" s="14" t="s">
        <v>27</v>
      </c>
      <c r="B28" s="25">
        <f>SUM(B6:B27)</f>
        <v>216672</v>
      </c>
      <c r="C28" s="46">
        <f>SUM(C6:C27)</f>
        <v>393283.41000000003</v>
      </c>
      <c r="D28" s="48">
        <f t="shared" si="5"/>
        <v>720391380.2997601</v>
      </c>
      <c r="E28" s="25">
        <f t="shared" ref="E28:L28" si="6">SUM(E6:E27)</f>
        <v>753</v>
      </c>
      <c r="F28" s="46">
        <f t="shared" si="6"/>
        <v>1458.3399999999997</v>
      </c>
      <c r="G28" s="48">
        <f t="shared" si="0"/>
        <v>2671293.8782399995</v>
      </c>
      <c r="H28" s="25">
        <f t="shared" si="6"/>
        <v>44734</v>
      </c>
      <c r="I28" s="46">
        <f t="shared" si="6"/>
        <v>38362.660000000003</v>
      </c>
      <c r="J28" s="48">
        <f t="shared" si="1"/>
        <v>70270265.377760023</v>
      </c>
      <c r="K28" s="25">
        <f t="shared" si="6"/>
        <v>70107</v>
      </c>
      <c r="L28" s="46">
        <f t="shared" si="6"/>
        <v>72579.180000000008</v>
      </c>
      <c r="M28" s="48">
        <f t="shared" si="2"/>
        <v>132945896.85648002</v>
      </c>
      <c r="N28" s="25">
        <f>SUM(N6:N27)</f>
        <v>332266</v>
      </c>
      <c r="O28" s="27">
        <f>SUM(O6:O27)</f>
        <v>926278836.41223991</v>
      </c>
    </row>
    <row r="29" spans="1:15" x14ac:dyDescent="0.2">
      <c r="A29" s="91" t="s">
        <v>30</v>
      </c>
      <c r="B29" s="91"/>
      <c r="C29" s="91"/>
      <c r="D29" s="91"/>
      <c r="E29" s="91"/>
      <c r="F29" s="91"/>
      <c r="G29" s="91"/>
      <c r="H29" s="91"/>
      <c r="I29" s="91"/>
      <c r="J29" s="91"/>
      <c r="K29" s="91"/>
      <c r="L29" s="91"/>
      <c r="M29" s="91"/>
      <c r="N29" s="91"/>
      <c r="O29" s="91"/>
    </row>
    <row r="30" spans="1:15" x14ac:dyDescent="0.2">
      <c r="A30" s="92" t="s">
        <v>31</v>
      </c>
      <c r="B30" s="92"/>
      <c r="C30" s="92"/>
      <c r="D30" s="92"/>
      <c r="E30" s="92"/>
      <c r="F30" s="92"/>
      <c r="G30" s="92"/>
      <c r="H30" s="92"/>
      <c r="I30" s="92"/>
      <c r="J30" s="92"/>
      <c r="K30" s="92"/>
      <c r="L30" s="92"/>
      <c r="M30" s="92"/>
      <c r="N30" s="92"/>
      <c r="O30" s="92"/>
    </row>
    <row r="31" spans="1:15" ht="13.5" x14ac:dyDescent="0.2">
      <c r="A31" s="23" t="s">
        <v>60</v>
      </c>
    </row>
    <row r="32" spans="1:15" ht="13.5" x14ac:dyDescent="0.2">
      <c r="A32" s="23" t="s">
        <v>38</v>
      </c>
    </row>
    <row r="33" spans="1:15" x14ac:dyDescent="0.2">
      <c r="A33" s="15" t="s">
        <v>53</v>
      </c>
      <c r="K33" s="1"/>
      <c r="L33" s="1"/>
      <c r="M33" s="24" t="s">
        <v>33</v>
      </c>
      <c r="N33" s="1"/>
      <c r="O33" s="1"/>
    </row>
    <row r="34" spans="1:15" x14ac:dyDescent="0.2">
      <c r="A34" s="22">
        <v>42548</v>
      </c>
      <c r="K34" s="1"/>
      <c r="L34" s="1"/>
      <c r="M34" s="24" t="s">
        <v>34</v>
      </c>
      <c r="N34" s="1"/>
      <c r="O34" s="1"/>
    </row>
  </sheetData>
  <mergeCells count="11">
    <mergeCell ref="A29:O29"/>
    <mergeCell ref="A30:O30"/>
    <mergeCell ref="A1:O1"/>
    <mergeCell ref="B2:O2"/>
    <mergeCell ref="A3:A5"/>
    <mergeCell ref="B3:O3"/>
    <mergeCell ref="B4:D4"/>
    <mergeCell ref="E4:G4"/>
    <mergeCell ref="H4:J4"/>
    <mergeCell ref="K4:M4"/>
    <mergeCell ref="N4:O4"/>
  </mergeCells>
  <pageMargins left="0.7" right="0.7" top="0.75" bottom="0.75" header="0.3" footer="0.3"/>
  <pageSetup scale="66" orientation="landscape" r:id="rId1"/>
  <colBreaks count="1" manualBreakCount="1">
    <brk id="1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workbookViewId="0">
      <selection activeCell="O28" sqref="O28"/>
    </sheetView>
  </sheetViews>
  <sheetFormatPr defaultRowHeight="12.75" x14ac:dyDescent="0.2"/>
  <cols>
    <col min="1" max="1" width="41.7109375" customWidth="1"/>
    <col min="3" max="3" width="14.42578125" customWidth="1"/>
    <col min="4" max="4" width="12" customWidth="1"/>
    <col min="6" max="6" width="10" customWidth="1"/>
    <col min="7" max="7" width="11.140625" customWidth="1"/>
    <col min="9" max="9" width="10.7109375" customWidth="1"/>
    <col min="10" max="10" width="10.42578125" customWidth="1"/>
    <col min="12" max="12" width="10.140625" customWidth="1"/>
    <col min="13" max="13" width="11.7109375" customWidth="1"/>
    <col min="15" max="15" width="9.5703125" bestFit="1" customWidth="1"/>
  </cols>
  <sheetData>
    <row r="1" spans="1:15" ht="29.25" customHeight="1" thickBot="1" x14ac:dyDescent="0.25">
      <c r="A1" s="111" t="s">
        <v>55</v>
      </c>
      <c r="B1" s="111"/>
      <c r="C1" s="111"/>
      <c r="D1" s="111"/>
      <c r="E1" s="111"/>
      <c r="F1" s="111"/>
      <c r="G1" s="111"/>
      <c r="H1" s="111"/>
      <c r="I1" s="111"/>
      <c r="J1" s="111"/>
      <c r="K1" s="111"/>
      <c r="L1" s="111"/>
      <c r="M1" s="111"/>
      <c r="N1" s="111"/>
      <c r="O1" s="111"/>
    </row>
    <row r="2" spans="1:15" x14ac:dyDescent="0.2">
      <c r="A2" s="2" t="s">
        <v>4</v>
      </c>
      <c r="B2" s="120">
        <v>2015</v>
      </c>
      <c r="C2" s="121"/>
      <c r="D2" s="121"/>
      <c r="E2" s="121"/>
      <c r="F2" s="121"/>
      <c r="G2" s="121"/>
      <c r="H2" s="121"/>
      <c r="I2" s="121"/>
      <c r="J2" s="121"/>
      <c r="K2" s="121"/>
      <c r="L2" s="121"/>
      <c r="M2" s="121"/>
      <c r="N2" s="121"/>
      <c r="O2" s="122"/>
    </row>
    <row r="3" spans="1:15" ht="12" customHeight="1" x14ac:dyDescent="0.2">
      <c r="A3" s="123" t="s">
        <v>40</v>
      </c>
      <c r="B3" s="100" t="s">
        <v>1</v>
      </c>
      <c r="C3" s="101"/>
      <c r="D3" s="101"/>
      <c r="E3" s="101"/>
      <c r="F3" s="101"/>
      <c r="G3" s="101"/>
      <c r="H3" s="101"/>
      <c r="I3" s="101"/>
      <c r="J3" s="101"/>
      <c r="K3" s="101"/>
      <c r="L3" s="101"/>
      <c r="M3" s="101"/>
      <c r="N3" s="101"/>
      <c r="O3" s="102"/>
    </row>
    <row r="4" spans="1:15" ht="12" customHeight="1" x14ac:dyDescent="0.2">
      <c r="A4" s="124"/>
      <c r="B4" s="125" t="s">
        <v>0</v>
      </c>
      <c r="C4" s="125"/>
      <c r="D4" s="126"/>
      <c r="E4" s="126" t="s">
        <v>3</v>
      </c>
      <c r="F4" s="126"/>
      <c r="G4" s="126"/>
      <c r="H4" s="126" t="s">
        <v>28</v>
      </c>
      <c r="I4" s="126"/>
      <c r="J4" s="126"/>
      <c r="K4" s="126" t="s">
        <v>29</v>
      </c>
      <c r="L4" s="126"/>
      <c r="M4" s="126"/>
      <c r="N4" s="126" t="s">
        <v>39</v>
      </c>
      <c r="O4" s="127"/>
    </row>
    <row r="5" spans="1:15" ht="34.5" customHeight="1" x14ac:dyDescent="0.2">
      <c r="A5" s="124"/>
      <c r="B5" s="3" t="s">
        <v>2</v>
      </c>
      <c r="C5" s="3" t="s">
        <v>44</v>
      </c>
      <c r="D5" s="4" t="s">
        <v>32</v>
      </c>
      <c r="E5" s="4" t="s">
        <v>2</v>
      </c>
      <c r="F5" s="3" t="s">
        <v>44</v>
      </c>
      <c r="G5" s="4" t="s">
        <v>32</v>
      </c>
      <c r="H5" s="4" t="s">
        <v>2</v>
      </c>
      <c r="I5" s="3" t="s">
        <v>44</v>
      </c>
      <c r="J5" s="4" t="s">
        <v>32</v>
      </c>
      <c r="K5" s="4" t="s">
        <v>2</v>
      </c>
      <c r="L5" s="3" t="s">
        <v>44</v>
      </c>
      <c r="M5" s="4" t="s">
        <v>32</v>
      </c>
      <c r="N5" s="4" t="s">
        <v>2</v>
      </c>
      <c r="O5" s="5" t="s">
        <v>32</v>
      </c>
    </row>
    <row r="6" spans="1:15" ht="12" customHeight="1" x14ac:dyDescent="0.2">
      <c r="A6" s="6" t="s">
        <v>5</v>
      </c>
      <c r="B6" s="7">
        <f>31+2196+3</f>
        <v>2230</v>
      </c>
      <c r="C6" s="7">
        <f>17.86+3185.33+4.01</f>
        <v>3207.2000000000003</v>
      </c>
      <c r="D6" s="7">
        <f>C6*9068*0.202</f>
        <v>5874743.6992000006</v>
      </c>
      <c r="E6" s="7">
        <v>7</v>
      </c>
      <c r="F6" s="50">
        <v>4.76</v>
      </c>
      <c r="G6" s="7">
        <f>F6*9068*0.202</f>
        <v>8719.0633600000001</v>
      </c>
      <c r="H6" s="7">
        <v>4806</v>
      </c>
      <c r="I6" s="50">
        <v>2095.04</v>
      </c>
      <c r="J6" s="7">
        <f>I6*9068*0.202</f>
        <v>3837560.1894399999</v>
      </c>
      <c r="K6" s="7">
        <v>1213</v>
      </c>
      <c r="L6" s="50">
        <v>879.23</v>
      </c>
      <c r="M6" s="7">
        <f>L6*9068*0.202</f>
        <v>1610517.2432800003</v>
      </c>
      <c r="N6" s="7">
        <f>B6+E6+H6+K6</f>
        <v>8256</v>
      </c>
      <c r="O6" s="26">
        <f>D6+G6+J6+M6</f>
        <v>11331540.195280001</v>
      </c>
    </row>
    <row r="7" spans="1:15" ht="12" customHeight="1" x14ac:dyDescent="0.2">
      <c r="A7" s="6" t="s">
        <v>6</v>
      </c>
      <c r="B7" s="7">
        <f>2+509+3</f>
        <v>514</v>
      </c>
      <c r="C7" s="7">
        <f>1.08+1243.89+10.38</f>
        <v>1255.3500000000001</v>
      </c>
      <c r="D7" s="7">
        <f t="shared" ref="D7:D28" si="0">C7*9068*0.202</f>
        <v>2299469.7876000004</v>
      </c>
      <c r="E7" s="7">
        <v>4</v>
      </c>
      <c r="F7" s="50">
        <v>5.76</v>
      </c>
      <c r="G7" s="7">
        <f t="shared" ref="G7:G28" si="1">F7*9068*0.202</f>
        <v>10550.799360000001</v>
      </c>
      <c r="H7" s="7">
        <v>60</v>
      </c>
      <c r="I7" s="50">
        <v>81.72</v>
      </c>
      <c r="J7" s="7">
        <f t="shared" ref="J7:J28" si="2">I7*9068*0.202</f>
        <v>149689.46591999999</v>
      </c>
      <c r="K7" s="7">
        <v>273</v>
      </c>
      <c r="L7" s="50">
        <v>409.73</v>
      </c>
      <c r="M7" s="7">
        <f t="shared" ref="M7:M28" si="3">L7*9068*0.202</f>
        <v>750517.19128000003</v>
      </c>
      <c r="N7" s="7">
        <f>B7+E7+H7+K7</f>
        <v>851</v>
      </c>
      <c r="O7" s="26">
        <f>D7+G7+J7+M7</f>
        <v>3210227.2441600002</v>
      </c>
    </row>
    <row r="8" spans="1:15" ht="12" customHeight="1" x14ac:dyDescent="0.2">
      <c r="A8" s="6" t="s">
        <v>7</v>
      </c>
      <c r="B8" s="7">
        <f>83+20435+10+49</f>
        <v>20577</v>
      </c>
      <c r="C8" s="7">
        <f>135.43+34970.28+20.22+108.74</f>
        <v>35234.67</v>
      </c>
      <c r="D8" s="7">
        <f t="shared" si="0"/>
        <v>64540613.487120003</v>
      </c>
      <c r="E8" s="7">
        <v>67</v>
      </c>
      <c r="F8" s="50">
        <v>88.31</v>
      </c>
      <c r="G8" s="7">
        <f t="shared" si="1"/>
        <v>161760.60616000002</v>
      </c>
      <c r="H8" s="7">
        <v>1222</v>
      </c>
      <c r="I8" s="50">
        <v>1350.49</v>
      </c>
      <c r="J8" s="7">
        <f t="shared" si="2"/>
        <v>2473741.1506400001</v>
      </c>
      <c r="K8" s="7">
        <v>7020</v>
      </c>
      <c r="L8" s="50">
        <v>7801.42</v>
      </c>
      <c r="M8" s="7">
        <f t="shared" si="3"/>
        <v>14290141.865120001</v>
      </c>
      <c r="N8" s="7">
        <f t="shared" ref="N8:N27" si="4">B8+E8+H8+K8</f>
        <v>28886</v>
      </c>
      <c r="O8" s="26">
        <f t="shared" ref="O8:O27" si="5">D8+G8+J8+M8</f>
        <v>81466257.109039992</v>
      </c>
    </row>
    <row r="9" spans="1:15" ht="21.75" customHeight="1" x14ac:dyDescent="0.2">
      <c r="A9" s="6" t="s">
        <v>8</v>
      </c>
      <c r="B9" s="7">
        <f>6+2260+6</f>
        <v>2272</v>
      </c>
      <c r="C9" s="7">
        <f>14.66+6985.25+22.01</f>
        <v>7021.92</v>
      </c>
      <c r="D9" s="7">
        <f t="shared" si="0"/>
        <v>12862303.653120002</v>
      </c>
      <c r="E9" s="7">
        <v>0</v>
      </c>
      <c r="F9" s="50">
        <v>0</v>
      </c>
      <c r="G9" s="7">
        <f t="shared" si="1"/>
        <v>0</v>
      </c>
      <c r="H9" s="7">
        <v>10</v>
      </c>
      <c r="I9" s="50">
        <v>15.32</v>
      </c>
      <c r="J9" s="7">
        <f t="shared" si="2"/>
        <v>28062.195520000005</v>
      </c>
      <c r="K9" s="7">
        <v>124</v>
      </c>
      <c r="L9" s="50">
        <v>95.99</v>
      </c>
      <c r="M9" s="7">
        <f t="shared" si="3"/>
        <v>175828.33864</v>
      </c>
      <c r="N9" s="7">
        <f t="shared" si="4"/>
        <v>2406</v>
      </c>
      <c r="O9" s="26">
        <f t="shared" si="5"/>
        <v>13066194.187280003</v>
      </c>
    </row>
    <row r="10" spans="1:15" ht="22.5" customHeight="1" x14ac:dyDescent="0.2">
      <c r="A10" s="6" t="s">
        <v>9</v>
      </c>
      <c r="B10" s="7">
        <f>3+1262+3</f>
        <v>1268</v>
      </c>
      <c r="C10" s="7">
        <f>2.28+2612.27+3.21</f>
        <v>2617.7600000000002</v>
      </c>
      <c r="D10" s="7">
        <f t="shared" si="0"/>
        <v>4795045.2313600006</v>
      </c>
      <c r="E10" s="7">
        <v>0</v>
      </c>
      <c r="F10" s="50">
        <v>0</v>
      </c>
      <c r="G10" s="7">
        <f t="shared" si="1"/>
        <v>0</v>
      </c>
      <c r="H10" s="7">
        <v>71</v>
      </c>
      <c r="I10" s="50">
        <v>77.209999999999994</v>
      </c>
      <c r="J10" s="7">
        <f t="shared" si="2"/>
        <v>141428.33656</v>
      </c>
      <c r="K10" s="7">
        <v>405</v>
      </c>
      <c r="L10" s="50">
        <v>484.41</v>
      </c>
      <c r="M10" s="7">
        <f t="shared" si="3"/>
        <v>887311.23576000007</v>
      </c>
      <c r="N10" s="7">
        <f t="shared" si="4"/>
        <v>1744</v>
      </c>
      <c r="O10" s="26">
        <f t="shared" si="5"/>
        <v>5823784.8036800008</v>
      </c>
    </row>
    <row r="11" spans="1:15" ht="12" customHeight="1" x14ac:dyDescent="0.2">
      <c r="A11" s="6" t="s">
        <v>10</v>
      </c>
      <c r="B11" s="7">
        <f>49+14407+4+60</f>
        <v>14520</v>
      </c>
      <c r="C11" s="7">
        <f>74.56+23137.37+3.71+122.94</f>
        <v>23338.579999999998</v>
      </c>
      <c r="D11" s="7">
        <f t="shared" si="0"/>
        <v>42750117.174880005</v>
      </c>
      <c r="E11" s="7">
        <v>177</v>
      </c>
      <c r="F11" s="50">
        <v>355.02</v>
      </c>
      <c r="G11" s="7">
        <f t="shared" si="1"/>
        <v>650302.91472</v>
      </c>
      <c r="H11" s="7">
        <v>1418</v>
      </c>
      <c r="I11" s="50">
        <v>1073.0899999999999</v>
      </c>
      <c r="J11" s="7">
        <f t="shared" si="2"/>
        <v>1965617.58424</v>
      </c>
      <c r="K11" s="7">
        <v>6059</v>
      </c>
      <c r="L11" s="50">
        <v>5445.1</v>
      </c>
      <c r="M11" s="7">
        <f t="shared" si="3"/>
        <v>9973985.6936000008</v>
      </c>
      <c r="N11" s="7">
        <f t="shared" si="4"/>
        <v>22174</v>
      </c>
      <c r="O11" s="26">
        <f t="shared" si="5"/>
        <v>55340023.36744</v>
      </c>
    </row>
    <row r="12" spans="1:15" ht="21" customHeight="1" x14ac:dyDescent="0.2">
      <c r="A12" s="6" t="s">
        <v>11</v>
      </c>
      <c r="B12" s="7">
        <f>211+50087+15+134</f>
        <v>50447</v>
      </c>
      <c r="C12" s="7">
        <f>359.51+74488.8+29.98+281.74</f>
        <v>75160.03</v>
      </c>
      <c r="D12" s="7">
        <f t="shared" si="0"/>
        <v>137673332.71208</v>
      </c>
      <c r="E12" s="7">
        <v>110</v>
      </c>
      <c r="F12" s="50">
        <v>141.56</v>
      </c>
      <c r="G12" s="7">
        <f t="shared" si="1"/>
        <v>259300.54816000003</v>
      </c>
      <c r="H12" s="7">
        <v>3167</v>
      </c>
      <c r="I12" s="50">
        <v>4141.99</v>
      </c>
      <c r="J12" s="7">
        <f t="shared" si="2"/>
        <v>7587032.1946400004</v>
      </c>
      <c r="K12" s="7">
        <v>11943</v>
      </c>
      <c r="L12" s="50">
        <v>13179.33</v>
      </c>
      <c r="M12" s="7">
        <f t="shared" si="3"/>
        <v>24141053.216880001</v>
      </c>
      <c r="N12" s="7">
        <f t="shared" si="4"/>
        <v>65667</v>
      </c>
      <c r="O12" s="26">
        <f t="shared" si="5"/>
        <v>169660718.67175999</v>
      </c>
    </row>
    <row r="13" spans="1:15" ht="12" customHeight="1" x14ac:dyDescent="0.2">
      <c r="A13" s="6" t="s">
        <v>12</v>
      </c>
      <c r="B13" s="7">
        <f>35+10330+2+33</f>
        <v>10400</v>
      </c>
      <c r="C13" s="7">
        <f>77.86+21205.44+5.01+94.15</f>
        <v>21382.46</v>
      </c>
      <c r="D13" s="7">
        <f t="shared" si="0"/>
        <v>39167021.750560001</v>
      </c>
      <c r="E13" s="7">
        <v>17</v>
      </c>
      <c r="F13" s="50">
        <v>22.37</v>
      </c>
      <c r="G13" s="7">
        <f t="shared" si="1"/>
        <v>40975.93432</v>
      </c>
      <c r="H13" s="7">
        <v>1024</v>
      </c>
      <c r="I13" s="50">
        <v>2404.36</v>
      </c>
      <c r="J13" s="7">
        <f t="shared" si="2"/>
        <v>4404152.76896</v>
      </c>
      <c r="K13" s="7">
        <v>6738</v>
      </c>
      <c r="L13" s="50">
        <v>8065.38</v>
      </c>
      <c r="M13" s="7">
        <f t="shared" si="3"/>
        <v>14773646.899680002</v>
      </c>
      <c r="N13" s="7">
        <f t="shared" si="4"/>
        <v>18179</v>
      </c>
      <c r="O13" s="26">
        <f t="shared" si="5"/>
        <v>58385797.353520006</v>
      </c>
    </row>
    <row r="14" spans="1:15" ht="20.25" customHeight="1" x14ac:dyDescent="0.2">
      <c r="A14" s="6" t="s">
        <v>13</v>
      </c>
      <c r="B14" s="7">
        <f>111+27662+7+30</f>
        <v>27810</v>
      </c>
      <c r="C14" s="7">
        <f>90.63+31214.48+4.99+52.39</f>
        <v>31362.49</v>
      </c>
      <c r="D14" s="7">
        <f t="shared" si="0"/>
        <v>57447801.982640006</v>
      </c>
      <c r="E14" s="7">
        <v>122</v>
      </c>
      <c r="F14" s="50">
        <v>220.04</v>
      </c>
      <c r="G14" s="7">
        <f t="shared" si="1"/>
        <v>403055.18944000005</v>
      </c>
      <c r="H14" s="7">
        <v>3244</v>
      </c>
      <c r="I14" s="50">
        <v>2724.49</v>
      </c>
      <c r="J14" s="7">
        <f t="shared" si="2"/>
        <v>4990546.4146400001</v>
      </c>
      <c r="K14" s="7">
        <v>22323</v>
      </c>
      <c r="L14" s="50">
        <v>15917.33</v>
      </c>
      <c r="M14" s="7">
        <f t="shared" si="3"/>
        <v>29156346.384880003</v>
      </c>
      <c r="N14" s="7">
        <f t="shared" si="4"/>
        <v>53499</v>
      </c>
      <c r="O14" s="26">
        <f t="shared" si="5"/>
        <v>91997749.971600011</v>
      </c>
    </row>
    <row r="15" spans="1:15" ht="12" customHeight="1" x14ac:dyDescent="0.2">
      <c r="A15" s="6" t="s">
        <v>14</v>
      </c>
      <c r="B15" s="7">
        <f>37+8505+5+35</f>
        <v>8582</v>
      </c>
      <c r="C15" s="7">
        <f>93.6+21584.64+10.47+117.65</f>
        <v>21806.36</v>
      </c>
      <c r="D15" s="7">
        <f t="shared" si="0"/>
        <v>39943494.640960008</v>
      </c>
      <c r="E15" s="7">
        <v>36</v>
      </c>
      <c r="F15" s="50">
        <v>107.68</v>
      </c>
      <c r="G15" s="7">
        <f t="shared" si="1"/>
        <v>197241.33248000004</v>
      </c>
      <c r="H15" s="7">
        <v>790</v>
      </c>
      <c r="I15" s="50">
        <v>2242.92</v>
      </c>
      <c r="J15" s="7">
        <f t="shared" si="2"/>
        <v>4108437.3091200008</v>
      </c>
      <c r="K15" s="7">
        <v>1165</v>
      </c>
      <c r="L15" s="50">
        <v>2670.64</v>
      </c>
      <c r="M15" s="7">
        <f t="shared" si="3"/>
        <v>4891907.4310400002</v>
      </c>
      <c r="N15" s="7">
        <f t="shared" si="4"/>
        <v>10573</v>
      </c>
      <c r="O15" s="26">
        <f t="shared" si="5"/>
        <v>49141080.71360001</v>
      </c>
    </row>
    <row r="16" spans="1:15" ht="12" customHeight="1" x14ac:dyDescent="0.2">
      <c r="A16" s="6" t="s">
        <v>15</v>
      </c>
      <c r="B16" s="7">
        <f>66+16677+7+62</f>
        <v>16812</v>
      </c>
      <c r="C16" s="7">
        <f>221.81+56095.52+27.88+236.18</f>
        <v>56581.389999999992</v>
      </c>
      <c r="D16" s="7">
        <f t="shared" si="0"/>
        <v>103642168.99304</v>
      </c>
      <c r="E16" s="7">
        <v>11</v>
      </c>
      <c r="F16" s="50">
        <v>24.66</v>
      </c>
      <c r="G16" s="7">
        <f t="shared" si="1"/>
        <v>45170.609760000007</v>
      </c>
      <c r="H16" s="7">
        <v>1415</v>
      </c>
      <c r="I16" s="50">
        <v>4517.4799999999996</v>
      </c>
      <c r="J16" s="7">
        <f t="shared" si="2"/>
        <v>8274830.7452799994</v>
      </c>
      <c r="K16" s="7">
        <v>1565</v>
      </c>
      <c r="L16" s="50">
        <v>3642.68</v>
      </c>
      <c r="M16" s="7">
        <f t="shared" si="3"/>
        <v>6672428.0924800001</v>
      </c>
      <c r="N16" s="7">
        <f t="shared" si="4"/>
        <v>19803</v>
      </c>
      <c r="O16" s="26">
        <f t="shared" si="5"/>
        <v>118634598.44056</v>
      </c>
    </row>
    <row r="17" spans="1:15" ht="12" customHeight="1" x14ac:dyDescent="0.2">
      <c r="A17" s="6" t="s">
        <v>16</v>
      </c>
      <c r="B17" s="7">
        <f>10+1931+1+8</f>
        <v>1950</v>
      </c>
      <c r="C17" s="7">
        <f>16.76+2748.2+2.44+17.04</f>
        <v>2784.44</v>
      </c>
      <c r="D17" s="7">
        <f t="shared" si="0"/>
        <v>5100358.9878400005</v>
      </c>
      <c r="E17" s="7">
        <v>1</v>
      </c>
      <c r="F17" s="50">
        <v>2.87</v>
      </c>
      <c r="G17" s="7">
        <f t="shared" si="1"/>
        <v>5257.0823200000004</v>
      </c>
      <c r="H17" s="7">
        <v>140</v>
      </c>
      <c r="I17" s="50">
        <v>184.8</v>
      </c>
      <c r="J17" s="7">
        <f t="shared" si="2"/>
        <v>338504.81280000007</v>
      </c>
      <c r="K17" s="7">
        <v>660</v>
      </c>
      <c r="L17" s="50">
        <v>712.86</v>
      </c>
      <c r="M17" s="7">
        <f t="shared" si="3"/>
        <v>1305771.3249600001</v>
      </c>
      <c r="N17" s="7">
        <f t="shared" si="4"/>
        <v>2751</v>
      </c>
      <c r="O17" s="26">
        <f t="shared" si="5"/>
        <v>6749892.2079200009</v>
      </c>
    </row>
    <row r="18" spans="1:15" ht="12" customHeight="1" x14ac:dyDescent="0.2">
      <c r="A18" s="6" t="s">
        <v>17</v>
      </c>
      <c r="B18" s="7">
        <f>100+19063+9+79</f>
        <v>19251</v>
      </c>
      <c r="C18" s="7">
        <f>246.92+41946.61+18.18+237.85</f>
        <v>42449.56</v>
      </c>
      <c r="D18" s="7">
        <f t="shared" si="0"/>
        <v>77756387.236159995</v>
      </c>
      <c r="E18" s="7">
        <v>24</v>
      </c>
      <c r="F18" s="50">
        <v>45.21</v>
      </c>
      <c r="G18" s="7">
        <f t="shared" si="1"/>
        <v>82812.784560000015</v>
      </c>
      <c r="H18" s="7">
        <v>1632</v>
      </c>
      <c r="I18" s="50">
        <v>4197.1899999999996</v>
      </c>
      <c r="J18" s="7">
        <f t="shared" si="2"/>
        <v>7688144.0218399996</v>
      </c>
      <c r="K18" s="7">
        <v>2947</v>
      </c>
      <c r="L18" s="50">
        <v>5255.2</v>
      </c>
      <c r="M18" s="7">
        <f t="shared" si="3"/>
        <v>9626139.0272000004</v>
      </c>
      <c r="N18" s="7">
        <f t="shared" si="4"/>
        <v>23854</v>
      </c>
      <c r="O18" s="26">
        <f t="shared" si="5"/>
        <v>95153483.069759995</v>
      </c>
    </row>
    <row r="19" spans="1:15" ht="12" customHeight="1" x14ac:dyDescent="0.2">
      <c r="A19" s="6" t="s">
        <v>18</v>
      </c>
      <c r="B19" s="7">
        <f>43+5567+7+19</f>
        <v>5636</v>
      </c>
      <c r="C19" s="7">
        <f>80.45+8429.71+15.2+29.31</f>
        <v>8554.67</v>
      </c>
      <c r="D19" s="7">
        <f t="shared" si="0"/>
        <v>15669897.007120002</v>
      </c>
      <c r="E19" s="7">
        <v>12</v>
      </c>
      <c r="F19" s="50">
        <v>22.36</v>
      </c>
      <c r="G19" s="7">
        <f t="shared" si="1"/>
        <v>40957.616959999999</v>
      </c>
      <c r="H19" s="7">
        <v>588</v>
      </c>
      <c r="I19" s="50">
        <v>855.53</v>
      </c>
      <c r="J19" s="7">
        <f t="shared" si="2"/>
        <v>1567105.10008</v>
      </c>
      <c r="K19" s="7">
        <v>3110</v>
      </c>
      <c r="L19" s="50">
        <v>3752.41</v>
      </c>
      <c r="M19" s="7">
        <f t="shared" si="3"/>
        <v>6873424.4837599993</v>
      </c>
      <c r="N19" s="7">
        <f t="shared" si="4"/>
        <v>9346</v>
      </c>
      <c r="O19" s="26">
        <f t="shared" si="5"/>
        <v>24151384.20792</v>
      </c>
    </row>
    <row r="20" spans="1:15" ht="21.75" customHeight="1" x14ac:dyDescent="0.2">
      <c r="A20" s="6" t="s">
        <v>19</v>
      </c>
      <c r="B20" s="7">
        <f>12+10724+2+26</f>
        <v>10764</v>
      </c>
      <c r="C20" s="7">
        <f>10.5+17967.83+5.12+59.29</f>
        <v>18042.740000000002</v>
      </c>
      <c r="D20" s="7">
        <f t="shared" si="0"/>
        <v>33049536.396640006</v>
      </c>
      <c r="E20" s="7">
        <v>53</v>
      </c>
      <c r="F20" s="50">
        <v>166.07</v>
      </c>
      <c r="G20" s="7">
        <f t="shared" si="1"/>
        <v>304196.39752</v>
      </c>
      <c r="H20" s="7">
        <v>41</v>
      </c>
      <c r="I20" s="50">
        <v>72.83</v>
      </c>
      <c r="J20" s="7">
        <f t="shared" si="2"/>
        <v>133405.33288</v>
      </c>
      <c r="K20" s="7">
        <v>180</v>
      </c>
      <c r="L20" s="50">
        <v>264.22000000000003</v>
      </c>
      <c r="M20" s="7">
        <f t="shared" si="3"/>
        <v>483981.28592000011</v>
      </c>
      <c r="N20" s="7">
        <f t="shared" si="4"/>
        <v>11038</v>
      </c>
      <c r="O20" s="26">
        <f t="shared" si="5"/>
        <v>33971119.412960008</v>
      </c>
    </row>
    <row r="21" spans="1:15" ht="12" customHeight="1" x14ac:dyDescent="0.2">
      <c r="A21" s="6" t="s">
        <v>20</v>
      </c>
      <c r="B21" s="8">
        <f>51+10944+6+22</f>
        <v>11023</v>
      </c>
      <c r="C21" s="8">
        <f>123.49+19617.7+21.01+72.98</f>
        <v>19835.18</v>
      </c>
      <c r="D21" s="7">
        <f t="shared" si="0"/>
        <v>36332813.272480004</v>
      </c>
      <c r="E21" s="8">
        <v>9</v>
      </c>
      <c r="F21" s="51">
        <v>21.41</v>
      </c>
      <c r="G21" s="7">
        <f t="shared" si="1"/>
        <v>39217.467760000007</v>
      </c>
      <c r="H21" s="8">
        <v>304</v>
      </c>
      <c r="I21" s="51">
        <v>602.64</v>
      </c>
      <c r="J21" s="7">
        <f t="shared" si="2"/>
        <v>1103877.38304</v>
      </c>
      <c r="K21" s="8">
        <v>1466</v>
      </c>
      <c r="L21" s="51">
        <v>2726.22</v>
      </c>
      <c r="M21" s="7">
        <f t="shared" si="3"/>
        <v>4993715.3179199994</v>
      </c>
      <c r="N21" s="7">
        <f t="shared" si="4"/>
        <v>12802</v>
      </c>
      <c r="O21" s="26">
        <f t="shared" si="5"/>
        <v>42469623.441200003</v>
      </c>
    </row>
    <row r="22" spans="1:15" ht="20.25" customHeight="1" x14ac:dyDescent="0.2">
      <c r="A22" s="6" t="s">
        <v>21</v>
      </c>
      <c r="B22" s="16">
        <f>24+5847+2+17</f>
        <v>5890</v>
      </c>
      <c r="C22" s="16">
        <f>34.69+9578.28+4.93+21.89</f>
        <v>9639.7900000000009</v>
      </c>
      <c r="D22" s="7">
        <f t="shared" si="0"/>
        <v>17657550.375440005</v>
      </c>
      <c r="E22" s="16">
        <v>3</v>
      </c>
      <c r="F22" s="50">
        <v>7.74</v>
      </c>
      <c r="G22" s="7">
        <f t="shared" si="1"/>
        <v>14177.636640000002</v>
      </c>
      <c r="H22" s="16">
        <v>292</v>
      </c>
      <c r="I22" s="50">
        <v>394.41</v>
      </c>
      <c r="J22" s="7">
        <f t="shared" si="2"/>
        <v>722454.99576000008</v>
      </c>
      <c r="K22" s="16">
        <v>1268</v>
      </c>
      <c r="L22" s="50">
        <v>1783.19</v>
      </c>
      <c r="M22" s="7">
        <f t="shared" si="3"/>
        <v>3266333.3178400001</v>
      </c>
      <c r="N22" s="7">
        <f t="shared" si="4"/>
        <v>7453</v>
      </c>
      <c r="O22" s="26">
        <f t="shared" si="5"/>
        <v>21660516.325680006</v>
      </c>
    </row>
    <row r="23" spans="1:15" ht="12" customHeight="1" x14ac:dyDescent="0.2">
      <c r="A23" s="10" t="s">
        <v>22</v>
      </c>
      <c r="B23" s="8">
        <f>19+3603+3+12</f>
        <v>3637</v>
      </c>
      <c r="C23" s="8">
        <f>27.65+4476.58+6.14+38.77</f>
        <v>4549.1400000000003</v>
      </c>
      <c r="D23" s="7">
        <f t="shared" si="0"/>
        <v>8332823.5070400015</v>
      </c>
      <c r="E23" s="8">
        <v>4</v>
      </c>
      <c r="F23" s="51">
        <v>3.92</v>
      </c>
      <c r="G23" s="7">
        <f t="shared" si="1"/>
        <v>7180.4051200000004</v>
      </c>
      <c r="H23" s="8">
        <v>449</v>
      </c>
      <c r="I23" s="51">
        <v>443.24</v>
      </c>
      <c r="J23" s="7">
        <f t="shared" si="2"/>
        <v>811898.66464000009</v>
      </c>
      <c r="K23" s="8">
        <v>1377</v>
      </c>
      <c r="L23" s="51">
        <v>1310.72</v>
      </c>
      <c r="M23" s="7">
        <f t="shared" si="3"/>
        <v>2400893.0099200006</v>
      </c>
      <c r="N23" s="7">
        <f t="shared" si="4"/>
        <v>5467</v>
      </c>
      <c r="O23" s="26">
        <f t="shared" si="5"/>
        <v>11552795.586720003</v>
      </c>
    </row>
    <row r="24" spans="1:15" ht="16.5" customHeight="1" x14ac:dyDescent="0.2">
      <c r="A24" s="10" t="s">
        <v>23</v>
      </c>
      <c r="B24" s="8">
        <f>24+6731+2+20</f>
        <v>6777</v>
      </c>
      <c r="C24" s="8">
        <f>35.62+10585.2+3.42+36.48</f>
        <v>10660.720000000001</v>
      </c>
      <c r="D24" s="7">
        <f t="shared" si="0"/>
        <v>19527624.609920003</v>
      </c>
      <c r="E24" s="8">
        <v>12</v>
      </c>
      <c r="F24" s="51">
        <v>12.02</v>
      </c>
      <c r="G24" s="7">
        <f t="shared" si="1"/>
        <v>22017.46672</v>
      </c>
      <c r="H24" s="8">
        <v>411</v>
      </c>
      <c r="I24" s="51">
        <v>433.4</v>
      </c>
      <c r="J24" s="7">
        <f t="shared" si="2"/>
        <v>793874.3824</v>
      </c>
      <c r="K24" s="8">
        <v>1456</v>
      </c>
      <c r="L24" s="51">
        <v>1427.2</v>
      </c>
      <c r="M24" s="7">
        <f t="shared" si="3"/>
        <v>2614253.6192000001</v>
      </c>
      <c r="N24" s="7">
        <f t="shared" si="4"/>
        <v>8656</v>
      </c>
      <c r="O24" s="26">
        <f t="shared" si="5"/>
        <v>22957770.07824</v>
      </c>
    </row>
    <row r="25" spans="1:15" ht="44.25" customHeight="1" x14ac:dyDescent="0.2">
      <c r="A25" s="10" t="s">
        <v>24</v>
      </c>
      <c r="B25" s="16">
        <f>71+211+1</f>
        <v>283</v>
      </c>
      <c r="C25" s="16">
        <f>35.19+155.74+0.74</f>
        <v>191.67000000000002</v>
      </c>
      <c r="D25" s="7">
        <f t="shared" si="0"/>
        <v>351088.83912000002</v>
      </c>
      <c r="E25" s="16">
        <v>3</v>
      </c>
      <c r="F25" s="50">
        <v>1.83</v>
      </c>
      <c r="G25" s="7">
        <f t="shared" si="1"/>
        <v>3352.0768800000005</v>
      </c>
      <c r="H25" s="16">
        <v>23751</v>
      </c>
      <c r="I25" s="50">
        <v>11645.01</v>
      </c>
      <c r="J25" s="7">
        <f t="shared" si="2"/>
        <v>21330584.037360001</v>
      </c>
      <c r="K25" s="16">
        <v>412</v>
      </c>
      <c r="L25" s="50">
        <v>202.76</v>
      </c>
      <c r="M25" s="7">
        <f t="shared" si="3"/>
        <v>371402.79136000003</v>
      </c>
      <c r="N25" s="7">
        <f t="shared" si="4"/>
        <v>24449</v>
      </c>
      <c r="O25" s="26">
        <f t="shared" si="5"/>
        <v>22056427.744720001</v>
      </c>
    </row>
    <row r="26" spans="1:15" ht="12" customHeight="1" x14ac:dyDescent="0.2">
      <c r="A26" s="10" t="s">
        <v>25</v>
      </c>
      <c r="B26" s="8">
        <f>5+287+4</f>
        <v>296</v>
      </c>
      <c r="C26" s="8">
        <f>15.16+890.96+6.09</f>
        <v>912.21</v>
      </c>
      <c r="D26" s="7">
        <f t="shared" si="0"/>
        <v>1670927.8965600003</v>
      </c>
      <c r="E26" s="8">
        <v>43</v>
      </c>
      <c r="F26" s="51">
        <v>125.38</v>
      </c>
      <c r="G26" s="7">
        <f t="shared" si="1"/>
        <v>229663.05967999998</v>
      </c>
      <c r="H26" s="8">
        <v>78</v>
      </c>
      <c r="I26" s="51">
        <v>193.43</v>
      </c>
      <c r="J26" s="7">
        <f t="shared" si="2"/>
        <v>354312.69448000001</v>
      </c>
      <c r="K26" s="8">
        <v>79</v>
      </c>
      <c r="L26" s="51">
        <v>206.02</v>
      </c>
      <c r="M26" s="7">
        <f t="shared" si="3"/>
        <v>377374.25072000007</v>
      </c>
      <c r="N26" s="7">
        <f t="shared" si="4"/>
        <v>496</v>
      </c>
      <c r="O26" s="26">
        <f t="shared" si="5"/>
        <v>2632277.9014400002</v>
      </c>
    </row>
    <row r="27" spans="1:15" ht="12" customHeight="1" thickBot="1" x14ac:dyDescent="0.25">
      <c r="A27" s="11" t="s">
        <v>26</v>
      </c>
      <c r="B27" s="12">
        <f>2+31</f>
        <v>33</v>
      </c>
      <c r="C27" s="12">
        <f>0.83+18.98</f>
        <v>19.809999999999999</v>
      </c>
      <c r="D27" s="33">
        <f t="shared" si="0"/>
        <v>36286.690159999998</v>
      </c>
      <c r="E27" s="12">
        <v>0</v>
      </c>
      <c r="F27" s="52">
        <v>0</v>
      </c>
      <c r="G27" s="33">
        <f t="shared" si="1"/>
        <v>0</v>
      </c>
      <c r="H27" s="12">
        <v>229</v>
      </c>
      <c r="I27" s="52">
        <v>59.9</v>
      </c>
      <c r="J27" s="33">
        <f t="shared" si="2"/>
        <v>109720.98639999999</v>
      </c>
      <c r="K27" s="12">
        <v>187</v>
      </c>
      <c r="L27" s="52">
        <v>67.510000000000005</v>
      </c>
      <c r="M27" s="33">
        <f t="shared" si="3"/>
        <v>123660.49736000002</v>
      </c>
      <c r="N27" s="33">
        <f t="shared" si="4"/>
        <v>449</v>
      </c>
      <c r="O27" s="47">
        <f t="shared" si="5"/>
        <v>269668.17392000003</v>
      </c>
    </row>
    <row r="28" spans="1:15" ht="12" customHeight="1" thickBot="1" x14ac:dyDescent="0.25">
      <c r="A28" s="14" t="s">
        <v>27</v>
      </c>
      <c r="B28" s="25">
        <f>SUM(B6:B27)</f>
        <v>220972</v>
      </c>
      <c r="C28" s="46">
        <f>SUM(C6:C27)</f>
        <v>396608.13999999996</v>
      </c>
      <c r="D28" s="48">
        <f t="shared" si="0"/>
        <v>726481407.93103993</v>
      </c>
      <c r="E28" s="25">
        <f t="shared" ref="E28:L28" si="6">SUM(E6:E27)</f>
        <v>715</v>
      </c>
      <c r="F28" s="46">
        <f t="shared" si="6"/>
        <v>1378.9699999999998</v>
      </c>
      <c r="G28" s="48">
        <f t="shared" si="1"/>
        <v>2525908.9919199999</v>
      </c>
      <c r="H28" s="25">
        <f t="shared" si="6"/>
        <v>45142</v>
      </c>
      <c r="I28" s="46">
        <f t="shared" si="6"/>
        <v>39806.490000000005</v>
      </c>
      <c r="J28" s="48">
        <f t="shared" si="2"/>
        <v>72914980.766640022</v>
      </c>
      <c r="K28" s="25">
        <f t="shared" si="6"/>
        <v>71970</v>
      </c>
      <c r="L28" s="46">
        <f t="shared" si="6"/>
        <v>76299.549999999988</v>
      </c>
      <c r="M28" s="48">
        <f t="shared" si="3"/>
        <v>139760632.51879999</v>
      </c>
      <c r="N28" s="25">
        <f>SUM(N6:N27)</f>
        <v>338799</v>
      </c>
      <c r="O28" s="27">
        <f>SUM(O6:O27)</f>
        <v>941682930.20840001</v>
      </c>
    </row>
    <row r="29" spans="1:15" x14ac:dyDescent="0.2">
      <c r="A29" s="91" t="s">
        <v>30</v>
      </c>
      <c r="B29" s="91"/>
      <c r="C29" s="91"/>
      <c r="D29" s="91"/>
      <c r="E29" s="91"/>
      <c r="F29" s="91"/>
      <c r="G29" s="91"/>
      <c r="H29" s="91"/>
      <c r="I29" s="91"/>
      <c r="J29" s="91"/>
      <c r="K29" s="91"/>
      <c r="L29" s="91"/>
      <c r="M29" s="91"/>
      <c r="N29" s="91"/>
      <c r="O29" s="91"/>
    </row>
    <row r="30" spans="1:15" x14ac:dyDescent="0.2">
      <c r="A30" s="92" t="s">
        <v>31</v>
      </c>
      <c r="B30" s="92"/>
      <c r="C30" s="92"/>
      <c r="D30" s="92"/>
      <c r="E30" s="92"/>
      <c r="F30" s="92"/>
      <c r="G30" s="92"/>
      <c r="H30" s="92"/>
      <c r="I30" s="92"/>
      <c r="J30" s="92"/>
      <c r="K30" s="92"/>
      <c r="L30" s="92"/>
      <c r="M30" s="92"/>
      <c r="N30" s="92"/>
      <c r="O30" s="92"/>
    </row>
    <row r="31" spans="1:15" ht="13.5" x14ac:dyDescent="0.2">
      <c r="A31" s="23" t="s">
        <v>59</v>
      </c>
    </row>
    <row r="32" spans="1:15" ht="13.5" x14ac:dyDescent="0.2">
      <c r="A32" s="23" t="s">
        <v>38</v>
      </c>
    </row>
    <row r="33" spans="1:15" x14ac:dyDescent="0.2">
      <c r="A33" s="15" t="s">
        <v>56</v>
      </c>
      <c r="K33" s="1"/>
      <c r="L33" s="1"/>
      <c r="M33" s="24" t="s">
        <v>33</v>
      </c>
      <c r="N33" s="1"/>
      <c r="O33" s="1"/>
    </row>
    <row r="34" spans="1:15" x14ac:dyDescent="0.2">
      <c r="A34" s="22">
        <v>42515</v>
      </c>
      <c r="K34" s="1"/>
      <c r="L34" s="1"/>
      <c r="M34" s="24" t="s">
        <v>34</v>
      </c>
      <c r="N34" s="1"/>
      <c r="O34" s="1"/>
    </row>
  </sheetData>
  <mergeCells count="11">
    <mergeCell ref="K4:M4"/>
    <mergeCell ref="N4:O4"/>
    <mergeCell ref="A29:O29"/>
    <mergeCell ref="A30:O30"/>
    <mergeCell ref="A1:O1"/>
    <mergeCell ref="B2:O2"/>
    <mergeCell ref="A3:A5"/>
    <mergeCell ref="B3:O3"/>
    <mergeCell ref="B4:D4"/>
    <mergeCell ref="E4:G4"/>
    <mergeCell ref="H4:J4"/>
  </mergeCells>
  <pageMargins left="0.7" right="0.7" top="0.75" bottom="0.75" header="0.3" footer="0.3"/>
  <pageSetup scale="66" orientation="landscape" r:id="rId1"/>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2007 </vt:lpstr>
      <vt:lpstr>2008 </vt:lpstr>
      <vt:lpstr>2009 </vt:lpstr>
      <vt:lpstr>2010 </vt:lpstr>
      <vt:lpstr>2011</vt:lpstr>
      <vt:lpstr>2012</vt:lpstr>
      <vt:lpstr>2013</vt:lpstr>
      <vt:lpstr>2014</vt:lpstr>
      <vt:lpstr>2015</vt:lpstr>
      <vt:lpstr>2016</vt:lpstr>
      <vt:lpstr>2017</vt:lpstr>
      <vt:lpstr>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Dimitris Michail</cp:lastModifiedBy>
  <cp:lastPrinted>2018-09-12T09:32:15Z</cp:lastPrinted>
  <dcterms:created xsi:type="dcterms:W3CDTF">1999-12-14T10:22:01Z</dcterms:created>
  <dcterms:modified xsi:type="dcterms:W3CDTF">2019-09-30T06:50:43Z</dcterms:modified>
</cp:coreProperties>
</file>